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YEnd\FY21\FY21 Leases\GASB 87\Lease Policy\"/>
    </mc:Choice>
  </mc:AlternateContent>
  <xr:revisionPtr revIDLastSave="0" documentId="13_ncr:1_{34C7F95E-44DA-44F8-8CCF-3BDF1738C68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Buy vs lease" sheetId="9" r:id="rId1"/>
    <sheet name="calc for implicit rate" sheetId="10" r:id="rId2"/>
    <sheet name="Buy vs lease ex" sheetId="7" r:id="rId3"/>
    <sheet name="ex calc for implicit rate" sheetId="8" r:id="rId4"/>
    <sheet name="Variables" sheetId="3" state="veryHidden" r:id="rId5"/>
  </sheets>
  <externalReferences>
    <externalReference r:id="rId6"/>
    <externalReference r:id="rId7"/>
  </externalReferences>
  <definedNames>
    <definedName name="_Example" hidden="1">Variables!$B$1</definedName>
    <definedName name="_Look" hidden="1">Variables!$B$4</definedName>
    <definedName name="_Series" hidden="1">Variables!$B$3</definedName>
    <definedName name="_Shading" hidden="1">Variables!$B$2</definedName>
    <definedName name="DATA_01" localSheetId="0" hidden="1">'Buy vs lease'!#REF!</definedName>
    <definedName name="DATA_01" localSheetId="2" hidden="1">'Buy vs lease ex'!#REF!</definedName>
    <definedName name="DATA_01" hidden="1">#REF!</definedName>
    <definedName name="DATA_02" localSheetId="0" hidden="1">'Buy vs lease'!$C$6:$C$10</definedName>
    <definedName name="DATA_02" localSheetId="2" hidden="1">'Buy vs lease ex'!$C$6:$C$10</definedName>
    <definedName name="DATA_02" hidden="1">#REF!</definedName>
    <definedName name="DATA_03" localSheetId="0" hidden="1">'Buy vs lease'!$G$10</definedName>
    <definedName name="DATA_03" localSheetId="2" hidden="1">'Buy vs lease ex'!$G$10</definedName>
    <definedName name="DATA_03" hidden="1">#REF!</definedName>
    <definedName name="DATA_04" localSheetId="0" hidden="1">'Buy vs lease'!$C$12</definedName>
    <definedName name="DATA_04" localSheetId="2" hidden="1">'Buy vs lease ex'!$C$12</definedName>
    <definedName name="DATA_04" hidden="1">#REF!</definedName>
    <definedName name="DATA_05" localSheetId="0" hidden="1">'Buy vs lease'!$C$14:$C$17</definedName>
    <definedName name="DATA_05" localSheetId="2" hidden="1">'Buy vs lease ex'!$C$14:$C$17</definedName>
    <definedName name="DATA_05" hidden="1">#REF!</definedName>
    <definedName name="DATA_06" localSheetId="0" hidden="1">'Buy vs lease'!$G$17</definedName>
    <definedName name="DATA_06" localSheetId="2" hidden="1">'Buy vs lease ex'!$G$17</definedName>
    <definedName name="DATA_06" hidden="1">#REF!</definedName>
    <definedName name="DATA_07" localSheetId="0" hidden="1">'Buy vs lease'!$F$32:$F$34</definedName>
    <definedName name="DATA_07" localSheetId="2" hidden="1">'Buy vs lease ex'!$F$32:$F$34</definedName>
    <definedName name="DATA_07" hidden="1">#REF!</definedName>
    <definedName name="DATA_08" localSheetId="0" hidden="1">'Buy vs lease'!$C$39:$C$40</definedName>
    <definedName name="DATA_08" localSheetId="2" hidden="1">'Buy vs lease ex'!$C$39:$C$40</definedName>
    <definedName name="DATA_08" hidden="1">#REF!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'Buy vs lease'!$A$1:$H$47</definedName>
    <definedName name="_xlnm.Print_Area" localSheetId="2">'Buy vs lease ex'!$A$1:$H$47</definedName>
    <definedName name="_xlnm.Print_Area" localSheetId="1">'calc for implicit rate'!$A$1:$G$25</definedName>
    <definedName name="_xlnm.Print_Area" localSheetId="3">'ex calc for implicit rate'!$A$1:$H$25</definedName>
    <definedName name="Proj">#REF!</definedName>
    <definedName name="PROJ2">'[1]Project refs'!$E$7:$G$167</definedName>
    <definedName name="Start16">'[2]example calc for implicit rate'!$H$1</definedName>
    <definedName name="TemplatePrintArea" localSheetId="0">'Buy vs lease'!$B$2:$G$48</definedName>
    <definedName name="TemplatePrintArea" localSheetId="2">'Buy vs lease ex'!$B$2:$G$48</definedName>
    <definedName name="Template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0" l="1"/>
  <c r="D23" i="10"/>
  <c r="B6" i="10"/>
  <c r="B12" i="10" s="1"/>
  <c r="D22" i="10" s="1"/>
  <c r="B5" i="10"/>
  <c r="B4" i="10"/>
  <c r="C42" i="9"/>
  <c r="G41" i="9"/>
  <c r="C41" i="9"/>
  <c r="G40" i="9"/>
  <c r="G39" i="9"/>
  <c r="G16" i="9"/>
  <c r="G15" i="9" s="1"/>
  <c r="G14" i="9"/>
  <c r="C13" i="9"/>
  <c r="C21" i="9" s="1"/>
  <c r="G10" i="9"/>
  <c r="G7" i="9"/>
  <c r="G21" i="9" s="1"/>
  <c r="G10" i="7"/>
  <c r="G7" i="7"/>
  <c r="C7" i="7"/>
  <c r="G42" i="9" l="1"/>
  <c r="G43" i="9" s="1"/>
  <c r="G44" i="9" s="1"/>
  <c r="C43" i="9"/>
  <c r="C44" i="9" s="1"/>
  <c r="B9" i="10"/>
  <c r="B10" i="10"/>
  <c r="D20" i="10" s="1"/>
  <c r="B11" i="10"/>
  <c r="D21" i="10" s="1"/>
  <c r="B6" i="8"/>
  <c r="D24" i="8" s="1"/>
  <c r="B4" i="8"/>
  <c r="C42" i="7"/>
  <c r="C41" i="7"/>
  <c r="G41" i="7" s="1"/>
  <c r="G40" i="7"/>
  <c r="G39" i="7"/>
  <c r="G16" i="7"/>
  <c r="G14" i="7"/>
  <c r="C13" i="7"/>
  <c r="C21" i="7" s="1"/>
  <c r="B5" i="8"/>
  <c r="B10" i="8" s="1"/>
  <c r="D20" i="8" s="1"/>
  <c r="B20" i="10" l="1"/>
  <c r="B16" i="10"/>
  <c r="C17" i="9" s="1"/>
  <c r="B12" i="8"/>
  <c r="D22" i="8" s="1"/>
  <c r="D23" i="8"/>
  <c r="G15" i="7"/>
  <c r="G42" i="7" s="1"/>
  <c r="G43" i="7" s="1"/>
  <c r="G44" i="7" s="1"/>
  <c r="B11" i="8"/>
  <c r="D21" i="8" s="1"/>
  <c r="C43" i="7"/>
  <c r="C44" i="7" s="1"/>
  <c r="B9" i="8"/>
  <c r="B16" i="8" s="1"/>
  <c r="G21" i="7"/>
  <c r="C22" i="9" l="1"/>
  <c r="G19" i="9"/>
  <c r="C19" i="9"/>
  <c r="C23" i="9"/>
  <c r="G22" i="9"/>
  <c r="C20" i="10"/>
  <c r="E20" i="10" s="1"/>
  <c r="B21" i="10" s="1"/>
  <c r="B20" i="8"/>
  <c r="C17" i="7"/>
  <c r="C24" i="9" l="1"/>
  <c r="C21" i="10"/>
  <c r="E21" i="10" s="1"/>
  <c r="B22" i="10" s="1"/>
  <c r="G24" i="9"/>
  <c r="G19" i="7"/>
  <c r="C23" i="7"/>
  <c r="C19" i="7"/>
  <c r="C22" i="7"/>
  <c r="G22" i="7"/>
  <c r="C20" i="8"/>
  <c r="E20" i="8" s="1"/>
  <c r="B21" i="8" s="1"/>
  <c r="G26" i="9" l="1"/>
  <c r="C22" i="10"/>
  <c r="E22" i="10" s="1"/>
  <c r="B23" i="10" s="1"/>
  <c r="C24" i="7"/>
  <c r="G24" i="7"/>
  <c r="C21" i="8"/>
  <c r="E21" i="8" s="1"/>
  <c r="B22" i="8" s="1"/>
  <c r="C23" i="10" l="1"/>
  <c r="E23" i="10" s="1"/>
  <c r="B24" i="10" s="1"/>
  <c r="G26" i="7"/>
  <c r="C22" i="8"/>
  <c r="E22" i="8" s="1"/>
  <c r="B23" i="8" s="1"/>
  <c r="C24" i="10" l="1"/>
  <c r="E24" i="10" s="1"/>
  <c r="C23" i="8"/>
  <c r="E23" i="8" s="1"/>
  <c r="B24" i="8" s="1"/>
  <c r="C24" i="8" s="1"/>
  <c r="E2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tc={A5B52C8B-346D-433F-BF19-4EBA318650BA}</author>
  </authors>
  <commentList>
    <comment ref="C17" authorId="0" shapeId="0" xr:uid="{A5B52C8B-346D-433F-BF19-4EBA318650BA}">
      <text>
        <t>[Threaded comment]
Your version of Excel allows you to read this threaded comment; however, any edits to it will get removed if the file is opened in a newer version of Excel. Learn more: https://go.microsoft.com/fwlink/?linkid=870924
Comment:
    If no interest rate is provided in the lease contract use the calculation for the implicit rate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tc={1E06DA0B-8D5A-4E93-95F5-9B853E361906}</author>
    <author>tc={5107A6D9-C4D2-4982-A885-EFC8B4EDECEC}</author>
  </authors>
  <commentList>
    <comment ref="C17" authorId="0" shapeId="0" xr:uid="{1E06DA0B-8D5A-4E93-95F5-9B853E361906}">
      <text>
        <t>[Threaded comment]
Your version of Excel allows you to read this threaded comment; however, any edits to it will get removed if the file is opened in a newer version of Excel. Learn more: https://go.microsoft.com/fwlink/?linkid=870924
Comment:
    If not interest rate is provided in the lease contract use the calc for the implicit rate</t>
      </text>
    </comment>
    <comment ref="G17" authorId="1" shapeId="0" xr:uid="{5107A6D9-C4D2-4982-A885-EFC8B4EDECEC}">
      <text>
        <t>[Threaded comment]
Your version of Excel allows you to read this threaded comment; however, any edits to it will get removed if the file is opened in a newer version of Excel. Learn more: https://go.microsoft.com/fwlink/?linkid=870924
Comment:
    obtain loan rate from bank/credit union website for applicable term</t>
      </text>
    </comment>
  </commentList>
</comments>
</file>

<file path=xl/sharedStrings.xml><?xml version="1.0" encoding="utf-8"?>
<sst xmlns="http://schemas.openxmlformats.org/spreadsheetml/2006/main" count="172" uniqueCount="74">
  <si>
    <t>Title</t>
  </si>
  <si>
    <t>Fees</t>
  </si>
  <si>
    <t>Note: Depreciation deductions may be available that could change the results of this analysis.</t>
  </si>
  <si>
    <t>_Example</t>
  </si>
  <si>
    <t>_Shading</t>
  </si>
  <si>
    <t>_Series</t>
  </si>
  <si>
    <t>_Look</t>
  </si>
  <si>
    <t>OfficeReady 3.0</t>
  </si>
  <si>
    <t>Suggested retail price</t>
  </si>
  <si>
    <t>Tax, title, etc.</t>
  </si>
  <si>
    <t>Refundable security deposit</t>
  </si>
  <si>
    <t>First month's payment</t>
  </si>
  <si>
    <t>Capital cost reduction payment</t>
  </si>
  <si>
    <t>Last month payment in advance?</t>
  </si>
  <si>
    <t>Payment (if yes)</t>
  </si>
  <si>
    <t>Selling price at end of lease</t>
  </si>
  <si>
    <t>Monthly lease payment</t>
  </si>
  <si>
    <t>Lease term</t>
  </si>
  <si>
    <t>Discount for present value</t>
  </si>
  <si>
    <t>Future value of last payment</t>
  </si>
  <si>
    <t>Initial costs</t>
  </si>
  <si>
    <t>Financing costs</t>
  </si>
  <si>
    <t>Present value of refund</t>
  </si>
  <si>
    <t>Present value of total costs</t>
  </si>
  <si>
    <t>Down payment</t>
  </si>
  <si>
    <t xml:space="preserve">Resale value </t>
  </si>
  <si>
    <t>Monthly loan payment</t>
  </si>
  <si>
    <t>Term of loan</t>
  </si>
  <si>
    <t>Loan rate</t>
  </si>
  <si>
    <t>Present value of resale</t>
  </si>
  <si>
    <t>Tax bracket</t>
  </si>
  <si>
    <t>Business use percentage</t>
  </si>
  <si>
    <t>Sales tax percentage</t>
  </si>
  <si>
    <t>Sales tax</t>
  </si>
  <si>
    <t>Potential financing deduction</t>
  </si>
  <si>
    <t>Total potential deductions</t>
  </si>
  <si>
    <t>Potential tax savings</t>
  </si>
  <si>
    <t>Interest deduction</t>
  </si>
  <si>
    <t>LEASE</t>
  </si>
  <si>
    <t>BUY</t>
  </si>
  <si>
    <t>TAXATION</t>
  </si>
  <si>
    <t>DIFFERENCE</t>
  </si>
  <si>
    <t>Make &amp; Model:</t>
  </si>
  <si>
    <t xml:space="preserve"> Note: Positive value favors leasing.</t>
  </si>
  <si>
    <t>No</t>
  </si>
  <si>
    <t>Assume the following facts:</t>
  </si>
  <si>
    <t>Initial direct costs incurred</t>
  </si>
  <si>
    <t>Lease payments required</t>
  </si>
  <si>
    <t>annually</t>
  </si>
  <si>
    <t>years</t>
  </si>
  <si>
    <t>Present Value at Inception</t>
  </si>
  <si>
    <t>Year 1 payment</t>
  </si>
  <si>
    <t>Year 2 payment</t>
  </si>
  <si>
    <t>Year 3 Payment</t>
  </si>
  <si>
    <t>Year 4 Payment</t>
  </si>
  <si>
    <t>Internal Rate of Return</t>
  </si>
  <si>
    <t>Implicit rate</t>
  </si>
  <si>
    <t>Resulting amortization table</t>
  </si>
  <si>
    <t>Year</t>
  </si>
  <si>
    <t>Beg Value</t>
  </si>
  <si>
    <t>Interest</t>
  </si>
  <si>
    <t>Payment</t>
  </si>
  <si>
    <t>End Value</t>
  </si>
  <si>
    <t>FV during lease + initial direct costs</t>
  </si>
  <si>
    <t>includes capital cost reduction payment and initial direct costs</t>
  </si>
  <si>
    <t>Fair value during lease term</t>
  </si>
  <si>
    <t>Year 5 Payment</t>
  </si>
  <si>
    <t>adjust formula for payment term</t>
  </si>
  <si>
    <t>P0052242</t>
  </si>
  <si>
    <t>2019 Chevrolet Equinox</t>
  </si>
  <si>
    <t>Yes</t>
  </si>
  <si>
    <t>Fair value of leased vehicle/equipment</t>
  </si>
  <si>
    <t>Implicit Rate Calculation - Use this calculation if there is not an interest rate provided in the lease contract.</t>
  </si>
  <si>
    <t>Buy vs. Lease Vehicle/Equipment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</si>
</sst>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mm/dd/yy"/>
    <numFmt numFmtId="165" formatCode="0_);[Red]\(0\)"/>
    <numFmt numFmtId="166" formatCode="_(* #,##0_);_(* \(#,##0\);_(* &quot;-&quot;??_);_(@_)"/>
    <numFmt numFmtId="167" formatCode="0.000%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i/>
      <sz val="7"/>
      <color indexed="8"/>
      <name val="Verdana"/>
      <family val="2"/>
    </font>
    <font>
      <b/>
      <i/>
      <sz val="10"/>
      <color indexed="9"/>
      <name val="Verdana"/>
      <family val="2"/>
    </font>
    <font>
      <sz val="10"/>
      <color indexed="9"/>
      <name val="Verdana"/>
      <family val="2"/>
    </font>
    <font>
      <b/>
      <i/>
      <sz val="9"/>
      <color indexed="9"/>
      <name val="Verdana"/>
      <family val="2"/>
    </font>
    <font>
      <b/>
      <i/>
      <sz val="8"/>
      <color indexed="9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1"/>
      <color theme="1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8">
    <xf numFmtId="40" fontId="0" fillId="0" borderId="0" applyFon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2">
    <xf numFmtId="40" fontId="0" fillId="0" borderId="0" xfId="0"/>
    <xf numFmtId="40" fontId="3" fillId="0" borderId="0" xfId="0" applyFont="1" applyFill="1" applyProtection="1"/>
    <xf numFmtId="40" fontId="3" fillId="0" borderId="0" xfId="0" applyFont="1" applyProtection="1"/>
    <xf numFmtId="40" fontId="3" fillId="0" borderId="0" xfId="0" applyFont="1" applyFill="1" applyBorder="1" applyAlignment="1" applyProtection="1">
      <alignment horizontal="centerContinuous"/>
    </xf>
    <xf numFmtId="40" fontId="3" fillId="0" borderId="0" xfId="0" applyFont="1" applyFill="1" applyBorder="1" applyProtection="1"/>
    <xf numFmtId="40" fontId="4" fillId="0" borderId="0" xfId="0" applyFont="1" applyFill="1" applyProtection="1"/>
    <xf numFmtId="40" fontId="3" fillId="0" borderId="0" xfId="0" applyFont="1" applyFill="1" applyAlignment="1" applyProtection="1">
      <alignment horizontal="left"/>
    </xf>
    <xf numFmtId="40" fontId="3" fillId="0" borderId="0" xfId="0" applyFont="1" applyFill="1" applyBorder="1" applyAlignment="1" applyProtection="1">
      <alignment horizontal="center"/>
    </xf>
    <xf numFmtId="40" fontId="3" fillId="0" borderId="0" xfId="0" applyFont="1" applyFill="1" applyAlignment="1" applyProtection="1">
      <alignment horizontal="center"/>
    </xf>
    <xf numFmtId="40" fontId="3" fillId="0" borderId="0" xfId="0" applyFont="1" applyAlignment="1" applyProtection="1">
      <alignment horizontal="center"/>
    </xf>
    <xf numFmtId="10" fontId="3" fillId="0" borderId="0" xfId="0" applyNumberFormat="1" applyFont="1" applyFill="1" applyBorder="1" applyProtection="1">
      <protection locked="0"/>
    </xf>
    <xf numFmtId="40" fontId="9" fillId="2" borderId="1" xfId="0" applyFont="1" applyFill="1" applyBorder="1" applyAlignment="1" applyProtection="1">
      <alignment horizontal="center" vertical="center"/>
    </xf>
    <xf numFmtId="40" fontId="10" fillId="2" borderId="2" xfId="0" applyFont="1" applyFill="1" applyBorder="1" applyAlignment="1" applyProtection="1">
      <alignment horizontal="center"/>
    </xf>
    <xf numFmtId="40" fontId="9" fillId="2" borderId="3" xfId="0" applyFont="1" applyFill="1" applyBorder="1" applyAlignment="1" applyProtection="1">
      <alignment horizontal="center" vertical="center"/>
    </xf>
    <xf numFmtId="40" fontId="9" fillId="2" borderId="4" xfId="0" applyFont="1" applyFill="1" applyBorder="1" applyAlignment="1" applyProtection="1">
      <alignment horizontal="center" vertical="center"/>
    </xf>
    <xf numFmtId="40" fontId="3" fillId="2" borderId="4" xfId="0" applyFont="1" applyFill="1" applyBorder="1" applyAlignment="1" applyProtection="1">
      <alignment horizontal="center"/>
    </xf>
    <xf numFmtId="40" fontId="3" fillId="0" borderId="0" xfId="0" applyFont="1" applyFill="1" applyBorder="1" applyAlignment="1" applyProtection="1">
      <alignment horizontal="left" indent="1"/>
    </xf>
    <xf numFmtId="40" fontId="8" fillId="0" borderId="0" xfId="0" applyFont="1" applyFill="1" applyBorder="1" applyAlignment="1" applyProtection="1">
      <alignment horizontal="left" indent="1"/>
    </xf>
    <xf numFmtId="40" fontId="10" fillId="0" borderId="0" xfId="0" applyFont="1" applyFill="1" applyBorder="1" applyProtection="1"/>
    <xf numFmtId="40" fontId="6" fillId="0" borderId="0" xfId="0" applyFont="1" applyFill="1" applyBorder="1" applyAlignment="1" applyProtection="1">
      <alignment horizontal="left" indent="1"/>
    </xf>
    <xf numFmtId="10" fontId="10" fillId="0" borderId="0" xfId="0" applyNumberFormat="1" applyFont="1" applyFill="1" applyBorder="1" applyProtection="1">
      <protection locked="0"/>
    </xf>
    <xf numFmtId="40" fontId="7" fillId="3" borderId="0" xfId="0" applyFont="1" applyFill="1" applyBorder="1" applyAlignment="1" applyProtection="1">
      <alignment horizontal="left" indent="1"/>
    </xf>
    <xf numFmtId="40" fontId="5" fillId="0" borderId="0" xfId="0" applyFont="1" applyFill="1" applyBorder="1" applyProtection="1"/>
    <xf numFmtId="40" fontId="11" fillId="2" borderId="3" xfId="0" applyFont="1" applyFill="1" applyBorder="1" applyAlignment="1" applyProtection="1">
      <alignment horizontal="center" vertical="center"/>
    </xf>
    <xf numFmtId="40" fontId="11" fillId="2" borderId="2" xfId="0" applyFont="1" applyFill="1" applyBorder="1" applyAlignment="1" applyProtection="1">
      <alignment horizontal="left" vertical="center" indent="1"/>
    </xf>
    <xf numFmtId="40" fontId="12" fillId="2" borderId="4" xfId="0" applyFont="1" applyFill="1" applyBorder="1" applyAlignment="1" applyProtection="1">
      <alignment horizontal="center" vertical="center"/>
    </xf>
    <xf numFmtId="40" fontId="5" fillId="2" borderId="4" xfId="0" applyFont="1" applyFill="1" applyBorder="1" applyAlignment="1" applyProtection="1">
      <alignment horizontal="center"/>
    </xf>
    <xf numFmtId="40" fontId="13" fillId="3" borderId="0" xfId="0" applyFont="1" applyFill="1" applyBorder="1" applyAlignment="1" applyProtection="1">
      <alignment horizontal="right"/>
    </xf>
    <xf numFmtId="40" fontId="13" fillId="3" borderId="5" xfId="0" applyFont="1" applyFill="1" applyBorder="1" applyAlignment="1" applyProtection="1">
      <alignment horizontal="left" indent="1"/>
    </xf>
    <xf numFmtId="40" fontId="14" fillId="3" borderId="5" xfId="0" applyFont="1" applyFill="1" applyBorder="1" applyAlignment="1" applyProtection="1">
      <alignment horizontal="left" indent="1"/>
    </xf>
    <xf numFmtId="40" fontId="15" fillId="3" borderId="5" xfId="0" applyFont="1" applyFill="1" applyBorder="1" applyAlignment="1" applyProtection="1">
      <alignment horizontal="left" indent="1"/>
    </xf>
    <xf numFmtId="40" fontId="16" fillId="3" borderId="5" xfId="0" applyFont="1" applyFill="1" applyBorder="1" applyAlignment="1" applyProtection="1">
      <alignment horizontal="left" indent="1"/>
    </xf>
    <xf numFmtId="6" fontId="14" fillId="0" borderId="6" xfId="0" applyNumberFormat="1" applyFont="1" applyFill="1" applyBorder="1" applyProtection="1">
      <protection locked="0"/>
    </xf>
    <xf numFmtId="38" fontId="14" fillId="0" borderId="6" xfId="0" applyNumberFormat="1" applyFont="1" applyFill="1" applyBorder="1" applyProtection="1">
      <protection locked="0"/>
    </xf>
    <xf numFmtId="38" fontId="14" fillId="0" borderId="7" xfId="0" applyNumberFormat="1" applyFont="1" applyFill="1" applyBorder="1" applyProtection="1">
      <protection locked="0"/>
    </xf>
    <xf numFmtId="40" fontId="14" fillId="3" borderId="0" xfId="0" applyFont="1" applyFill="1" applyBorder="1" applyProtection="1"/>
    <xf numFmtId="40" fontId="14" fillId="0" borderId="8" xfId="0" applyFont="1" applyFill="1" applyBorder="1" applyAlignment="1" applyProtection="1">
      <alignment horizontal="center"/>
      <protection locked="0"/>
    </xf>
    <xf numFmtId="38" fontId="14" fillId="4" borderId="6" xfId="0" applyNumberFormat="1" applyFont="1" applyFill="1" applyBorder="1" applyProtection="1"/>
    <xf numFmtId="10" fontId="14" fillId="0" borderId="7" xfId="0" applyNumberFormat="1" applyFont="1" applyFill="1" applyBorder="1" applyProtection="1">
      <protection locked="0"/>
    </xf>
    <xf numFmtId="38" fontId="14" fillId="4" borderId="9" xfId="0" applyNumberFormat="1" applyFont="1" applyFill="1" applyBorder="1" applyProtection="1"/>
    <xf numFmtId="38" fontId="14" fillId="4" borderId="8" xfId="0" applyNumberFormat="1" applyFont="1" applyFill="1" applyBorder="1" applyProtection="1"/>
    <xf numFmtId="6" fontId="17" fillId="4" borderId="7" xfId="0" applyNumberFormat="1" applyFont="1" applyFill="1" applyBorder="1" applyProtection="1"/>
    <xf numFmtId="6" fontId="14" fillId="4" borderId="6" xfId="0" applyNumberFormat="1" applyFont="1" applyFill="1" applyBorder="1" applyProtection="1"/>
    <xf numFmtId="38" fontId="14" fillId="4" borderId="7" xfId="0" applyNumberFormat="1" applyFont="1" applyFill="1" applyBorder="1" applyProtection="1"/>
    <xf numFmtId="38" fontId="14" fillId="3" borderId="0" xfId="0" applyNumberFormat="1" applyFont="1" applyFill="1" applyBorder="1" applyProtection="1"/>
    <xf numFmtId="38" fontId="14" fillId="0" borderId="9" xfId="0" applyNumberFormat="1" applyFont="1" applyFill="1" applyBorder="1" applyProtection="1">
      <protection locked="0"/>
    </xf>
    <xf numFmtId="6" fontId="17" fillId="4" borderId="9" xfId="0" applyNumberFormat="1" applyFont="1" applyFill="1" applyBorder="1" applyProtection="1"/>
    <xf numFmtId="40" fontId="14" fillId="0" borderId="0" xfId="0" applyFont="1" applyProtection="1"/>
    <xf numFmtId="40" fontId="14" fillId="0" borderId="0" xfId="0" applyFont="1" applyFill="1" applyBorder="1" applyAlignment="1" applyProtection="1">
      <alignment horizontal="centerContinuous"/>
    </xf>
    <xf numFmtId="40" fontId="14" fillId="0" borderId="0" xfId="0" applyFont="1" applyFill="1" applyAlignment="1" applyProtection="1">
      <alignment horizontal="right"/>
    </xf>
    <xf numFmtId="40" fontId="17" fillId="3" borderId="5" xfId="0" applyFont="1" applyFill="1" applyBorder="1" applyAlignment="1" applyProtection="1">
      <alignment horizontal="left" indent="1"/>
    </xf>
    <xf numFmtId="40" fontId="17" fillId="3" borderId="10" xfId="0" applyFont="1" applyFill="1" applyBorder="1" applyAlignment="1" applyProtection="1">
      <alignment horizontal="left" indent="1"/>
    </xf>
    <xf numFmtId="40" fontId="14" fillId="3" borderId="11" xfId="0" applyFont="1" applyFill="1" applyBorder="1" applyProtection="1"/>
    <xf numFmtId="40" fontId="14" fillId="3" borderId="5" xfId="0" applyFont="1" applyFill="1" applyBorder="1" applyProtection="1"/>
    <xf numFmtId="10" fontId="14" fillId="0" borderId="8" xfId="0" applyNumberFormat="1" applyFont="1" applyFill="1" applyBorder="1" applyProtection="1">
      <protection locked="0"/>
    </xf>
    <xf numFmtId="10" fontId="14" fillId="3" borderId="11" xfId="0" applyNumberFormat="1" applyFont="1" applyFill="1" applyBorder="1" applyProtection="1">
      <protection locked="0"/>
    </xf>
    <xf numFmtId="10" fontId="14" fillId="0" borderId="6" xfId="0" applyNumberFormat="1" applyFont="1" applyFill="1" applyBorder="1" applyProtection="1">
      <protection locked="0"/>
    </xf>
    <xf numFmtId="40" fontId="7" fillId="3" borderId="12" xfId="0" applyFont="1" applyFill="1" applyBorder="1" applyAlignment="1" applyProtection="1">
      <alignment horizontal="left" indent="1"/>
    </xf>
    <xf numFmtId="40" fontId="7" fillId="3" borderId="13" xfId="0" applyFont="1" applyFill="1" applyBorder="1" applyAlignment="1" applyProtection="1">
      <alignment horizontal="left" indent="1"/>
    </xf>
    <xf numFmtId="10" fontId="14" fillId="3" borderId="13" xfId="0" applyNumberFormat="1" applyFont="1" applyFill="1" applyBorder="1" applyProtection="1">
      <protection locked="0"/>
    </xf>
    <xf numFmtId="10" fontId="14" fillId="3" borderId="14" xfId="0" applyNumberFormat="1" applyFont="1" applyFill="1" applyBorder="1" applyProtection="1">
      <protection locked="0"/>
    </xf>
    <xf numFmtId="40" fontId="14" fillId="0" borderId="0" xfId="0" applyFont="1" applyFill="1" applyProtection="1"/>
    <xf numFmtId="6" fontId="14" fillId="3" borderId="11" xfId="0" applyNumberFormat="1" applyFont="1" applyFill="1" applyBorder="1" applyProtection="1">
      <protection locked="0"/>
    </xf>
    <xf numFmtId="38" fontId="14" fillId="3" borderId="11" xfId="0" applyNumberFormat="1" applyFont="1" applyFill="1" applyBorder="1" applyProtection="1">
      <protection locked="0"/>
    </xf>
    <xf numFmtId="40" fontId="14" fillId="3" borderId="11" xfId="0" applyFont="1" applyFill="1" applyBorder="1" applyAlignment="1" applyProtection="1">
      <alignment horizontal="center"/>
      <protection locked="0"/>
    </xf>
    <xf numFmtId="38" fontId="14" fillId="3" borderId="11" xfId="0" applyNumberFormat="1" applyFont="1" applyFill="1" applyBorder="1" applyProtection="1"/>
    <xf numFmtId="6" fontId="17" fillId="3" borderId="11" xfId="0" applyNumberFormat="1" applyFont="1" applyFill="1" applyBorder="1" applyProtection="1"/>
    <xf numFmtId="40" fontId="17" fillId="0" borderId="0" xfId="0" applyFont="1" applyFill="1" applyProtection="1"/>
    <xf numFmtId="40" fontId="14" fillId="3" borderId="12" xfId="0" applyFont="1" applyFill="1" applyBorder="1" applyAlignment="1" applyProtection="1">
      <alignment horizontal="left" indent="1"/>
    </xf>
    <xf numFmtId="40" fontId="14" fillId="3" borderId="13" xfId="0" applyFont="1" applyFill="1" applyBorder="1" applyProtection="1"/>
    <xf numFmtId="40" fontId="14" fillId="3" borderId="14" xfId="0" applyFont="1" applyFill="1" applyBorder="1" applyProtection="1"/>
    <xf numFmtId="40" fontId="16" fillId="3" borderId="12" xfId="0" applyFont="1" applyFill="1" applyBorder="1" applyAlignment="1" applyProtection="1">
      <alignment horizontal="left" indent="1"/>
    </xf>
    <xf numFmtId="40" fontId="7" fillId="3" borderId="5" xfId="0" applyFont="1" applyFill="1" applyBorder="1" applyAlignment="1" applyProtection="1">
      <alignment horizontal="left" indent="1"/>
    </xf>
    <xf numFmtId="40" fontId="14" fillId="3" borderId="5" xfId="0" applyFont="1" applyFill="1" applyBorder="1" applyAlignment="1" applyProtection="1"/>
    <xf numFmtId="6" fontId="14" fillId="0" borderId="8" xfId="0" applyNumberFormat="1" applyFont="1" applyFill="1" applyBorder="1" applyProtection="1">
      <protection locked="0"/>
    </xf>
    <xf numFmtId="6" fontId="14" fillId="4" borderId="8" xfId="0" applyNumberFormat="1" applyFont="1" applyFill="1" applyBorder="1" applyProtection="1"/>
    <xf numFmtId="6" fontId="14" fillId="4" borderId="7" xfId="0" applyNumberFormat="1" applyFont="1" applyFill="1" applyBorder="1" applyProtection="1"/>
    <xf numFmtId="6" fontId="14" fillId="3" borderId="11" xfId="0" applyNumberFormat="1" applyFont="1" applyFill="1" applyBorder="1" applyProtection="1"/>
    <xf numFmtId="40" fontId="7" fillId="3" borderId="12" xfId="0" applyFont="1" applyFill="1" applyBorder="1" applyProtection="1"/>
    <xf numFmtId="40" fontId="16" fillId="0" borderId="0" xfId="0" applyFont="1" applyFill="1" applyProtection="1"/>
    <xf numFmtId="40" fontId="18" fillId="0" borderId="0" xfId="0" applyFont="1" applyFill="1" applyBorder="1" applyAlignment="1" applyProtection="1">
      <alignment horizontal="left"/>
    </xf>
    <xf numFmtId="0" fontId="1" fillId="0" borderId="0" xfId="4"/>
    <xf numFmtId="166" fontId="0" fillId="0" borderId="0" xfId="5" applyNumberFormat="1" applyFont="1"/>
    <xf numFmtId="0" fontId="19" fillId="0" borderId="0" xfId="6"/>
    <xf numFmtId="167" fontId="0" fillId="5" borderId="0" xfId="7" applyNumberFormat="1" applyFont="1" applyFill="1"/>
    <xf numFmtId="166" fontId="20" fillId="0" borderId="0" xfId="5" applyNumberFormat="1" applyFont="1" applyAlignment="1">
      <alignment horizontal="center"/>
    </xf>
    <xf numFmtId="0" fontId="20" fillId="0" borderId="0" xfId="4" applyFont="1" applyAlignment="1">
      <alignment horizontal="center"/>
    </xf>
    <xf numFmtId="166" fontId="1" fillId="0" borderId="0" xfId="4" applyNumberFormat="1"/>
    <xf numFmtId="0" fontId="22" fillId="0" borderId="0" xfId="4" applyFont="1"/>
    <xf numFmtId="0" fontId="1" fillId="0" borderId="0" xfId="4" applyAlignment="1">
      <alignment wrapText="1"/>
    </xf>
    <xf numFmtId="0" fontId="21" fillId="0" borderId="0" xfId="4" applyFont="1"/>
    <xf numFmtId="40" fontId="14" fillId="0" borderId="15" xfId="0" applyFont="1" applyFill="1" applyBorder="1" applyAlignment="1" applyProtection="1">
      <alignment horizontal="left" wrapText="1"/>
    </xf>
  </cellXfs>
  <cellStyles count="8">
    <cellStyle name="Comma 2" xfId="5" xr:uid="{78CB58EF-FB75-4F3C-9F3F-1C875D09975D}"/>
    <cellStyle name="Date" xfId="1" xr:uid="{00000000-0005-0000-0000-000000000000}"/>
    <cellStyle name="Fixed" xfId="2" xr:uid="{00000000-0005-0000-0000-000001000000}"/>
    <cellStyle name="Hyperlink 2" xfId="6" xr:uid="{EE167228-FF48-4FD2-BB20-F91B45825A66}"/>
    <cellStyle name="Normal" xfId="0" builtinId="0"/>
    <cellStyle name="Normal 2" xfId="4" xr:uid="{D70A5672-EBD3-4BDC-980B-1994541EAE28}"/>
    <cellStyle name="Percent 2" xfId="7" xr:uid="{37699312-FF77-4D37-8AFB-119E2ACE5DBD}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EC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45507F"/>
      <rgbColor rgb="00CC99FF"/>
      <rgbColor rgb="00EAEAEA"/>
      <rgbColor rgb="003366FF"/>
      <rgbColor rgb="0033CCCC"/>
      <rgbColor rgb="00339933"/>
      <rgbColor rgb="00C1E2E7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Fin\Ye_Mar17\Notes%20&amp;%20Deliverables\IFRS%20Property%20&amp;%20Surf%20leases%20note%202009%20-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's Group "/>
      <sheetName val="Note's WPD Invs(62)"/>
      <sheetName val="Note's WP Mid Props(42)"/>
      <sheetName val="Lessor 31.3.17"/>
      <sheetName val="Leasee 31.3.17"/>
      <sheetName val="Lessor 31.3.16"/>
      <sheetName val="Deleted leases"/>
      <sheetName val="Leasee 31.3.16"/>
      <sheetName val="Lessor 31.3.15"/>
      <sheetName val="Leasee 31.3.15"/>
      <sheetName val="Inv Income 2016-17"/>
      <sheetName val="Inv income 2015-16"/>
      <sheetName val="Inv Income 2014-15"/>
      <sheetName val="Inv Income 2012-13"/>
      <sheetName val="Project ref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E7" t="str">
            <v>000000</v>
          </cell>
          <cell r="F7" t="str">
            <v>NO PROJECT</v>
          </cell>
          <cell r="G7" t="str">
            <v>Phasing</v>
          </cell>
        </row>
        <row r="8">
          <cell r="E8" t="str">
            <v>071501</v>
          </cell>
          <cell r="F8" t="str">
            <v>CATER ROAD [CAR PARK LETTING] 2</v>
          </cell>
          <cell r="G8" t="str">
            <v>NON IP</v>
          </cell>
        </row>
        <row r="9">
          <cell r="E9" t="str">
            <v>071503</v>
          </cell>
          <cell r="F9" t="str">
            <v>BOWER ASHTON-OPEN STORAGE-LET 12</v>
          </cell>
          <cell r="G9" t="str">
            <v>NON IP</v>
          </cell>
        </row>
        <row r="10">
          <cell r="E10" t="str">
            <v>071504</v>
          </cell>
          <cell r="F10" t="str">
            <v>STON EASTON:132/33KV S/S 15</v>
          </cell>
          <cell r="G10" t="str">
            <v>NON IP</v>
          </cell>
        </row>
        <row r="11">
          <cell r="E11" t="str">
            <v>071507</v>
          </cell>
          <cell r="F11" t="str">
            <v>DARTMOUTH,COLLAFORD LANE 33KV 20</v>
          </cell>
          <cell r="G11" t="str">
            <v>IP</v>
          </cell>
        </row>
        <row r="12">
          <cell r="E12" t="str">
            <v>071512</v>
          </cell>
          <cell r="F12" t="str">
            <v>BRISTOL,DOVE ST.CAR PARK,LET. 51 Montague Hill</v>
          </cell>
          <cell r="G12" t="str">
            <v>IP</v>
          </cell>
        </row>
        <row r="13">
          <cell r="E13" t="str">
            <v>071513</v>
          </cell>
          <cell r="F13" t="str">
            <v>PERRANPORTH FUTURE 33KV S/S 54</v>
          </cell>
          <cell r="G13" t="str">
            <v>NON IP</v>
          </cell>
        </row>
        <row r="14">
          <cell r="E14" t="str">
            <v>071515</v>
          </cell>
          <cell r="F14" t="str">
            <v>BUDLEIGH SALTERTON S/S 56</v>
          </cell>
          <cell r="G14" t="str">
            <v>NON IP</v>
          </cell>
        </row>
        <row r="15">
          <cell r="E15" t="str">
            <v>071516</v>
          </cell>
          <cell r="F15" t="str">
            <v>EXETER:NORTHERNHAY STREET 57</v>
          </cell>
          <cell r="G15" t="str">
            <v>IP</v>
          </cell>
        </row>
        <row r="16">
          <cell r="E16" t="str">
            <v>071517</v>
          </cell>
          <cell r="F16" t="str">
            <v>PLYMOUTH:CLITTAFORD ROAD 61</v>
          </cell>
          <cell r="G16" t="str">
            <v>NON IP</v>
          </cell>
        </row>
        <row r="17">
          <cell r="E17" t="str">
            <v>071520</v>
          </cell>
          <cell r="F17" t="str">
            <v>BISHOPSTEIGNTON:SUB-SITE 64</v>
          </cell>
          <cell r="G17" t="str">
            <v>NON IP</v>
          </cell>
        </row>
        <row r="18">
          <cell r="E18" t="str">
            <v>071521</v>
          </cell>
          <cell r="F18" t="str">
            <v>BARTON:COMBE BIFFORD 33KV 65</v>
          </cell>
          <cell r="G18" t="str">
            <v>NON IP</v>
          </cell>
        </row>
        <row r="19">
          <cell r="E19" t="str">
            <v>071522</v>
          </cell>
          <cell r="F19" t="str">
            <v>NEWTON ABBOT:COLLEGE RD. S/S 66</v>
          </cell>
          <cell r="G19" t="str">
            <v>NON IP</v>
          </cell>
        </row>
        <row r="20">
          <cell r="E20" t="str">
            <v>071523</v>
          </cell>
          <cell r="F20" t="str">
            <v>TOTNES:DENY'S ROAD S/S 67</v>
          </cell>
          <cell r="G20" t="str">
            <v>NON IP</v>
          </cell>
        </row>
        <row r="21">
          <cell r="E21" t="str">
            <v>071524</v>
          </cell>
          <cell r="F21" t="str">
            <v>TORQUAY:PENTRIDGE WAY S/S 68</v>
          </cell>
          <cell r="G21" t="str">
            <v>NON IP</v>
          </cell>
        </row>
        <row r="22">
          <cell r="E22" t="str">
            <v>071525</v>
          </cell>
          <cell r="F22" t="str">
            <v>PAIGNTON:FRESHWATER DRIVE S/S 69</v>
          </cell>
          <cell r="G22" t="str">
            <v>NON IP</v>
          </cell>
        </row>
        <row r="23">
          <cell r="E23" t="str">
            <v>071526</v>
          </cell>
          <cell r="F23" t="str">
            <v>BOVEY TRACEY:KILN CLOSE S/S 70</v>
          </cell>
          <cell r="G23" t="str">
            <v>NON IP</v>
          </cell>
        </row>
        <row r="24">
          <cell r="E24" t="str">
            <v>071527</v>
          </cell>
          <cell r="F24" t="str">
            <v>PAIGNTON:WATERCLEAT CLOSE S/S 71</v>
          </cell>
          <cell r="G24" t="str">
            <v>NON IP</v>
          </cell>
        </row>
        <row r="25">
          <cell r="E25" t="str">
            <v>071528</v>
          </cell>
          <cell r="F25" t="str">
            <v>DAWLISH:ELM GROVE S/S 72</v>
          </cell>
          <cell r="G25" t="str">
            <v>NON IP</v>
          </cell>
        </row>
        <row r="26">
          <cell r="E26" t="str">
            <v>071529</v>
          </cell>
          <cell r="F26" t="str">
            <v>KINGKERSWELL:  33KV 73</v>
          </cell>
          <cell r="G26" t="str">
            <v>NON IP</v>
          </cell>
        </row>
        <row r="27">
          <cell r="E27" t="str">
            <v>071530</v>
          </cell>
          <cell r="F27" t="str">
            <v>EXETER:STOKE HILL 74</v>
          </cell>
          <cell r="G27" t="str">
            <v>NON IP</v>
          </cell>
        </row>
        <row r="28">
          <cell r="E28" t="str">
            <v>071532</v>
          </cell>
          <cell r="F28" t="str">
            <v>EXETER:ELMDOWN CLOSE S/S 76</v>
          </cell>
          <cell r="G28" t="str">
            <v>NON IP</v>
          </cell>
        </row>
        <row r="29">
          <cell r="E29" t="str">
            <v>071533</v>
          </cell>
          <cell r="F29" t="str">
            <v>EXETER:RIDGEWAY GARDENS S/S 77</v>
          </cell>
          <cell r="G29" t="str">
            <v>NON IP</v>
          </cell>
        </row>
        <row r="30">
          <cell r="E30" t="str">
            <v>071535</v>
          </cell>
          <cell r="F30" t="str">
            <v>SIDMOUTH LWR WHEATHILL 11KV 79</v>
          </cell>
          <cell r="G30" t="str">
            <v>NON IP</v>
          </cell>
        </row>
        <row r="31">
          <cell r="E31" t="str">
            <v>071536</v>
          </cell>
          <cell r="F31" t="str">
            <v>EXETER UNION RD SUB STATION 80</v>
          </cell>
          <cell r="G31" t="str">
            <v>NON IP</v>
          </cell>
        </row>
        <row r="32">
          <cell r="E32" t="str">
            <v>071540</v>
          </cell>
          <cell r="F32" t="str">
            <v>CREDITON ALEXANDRA CL S/STN 84</v>
          </cell>
          <cell r="G32" t="str">
            <v>NON IP</v>
          </cell>
        </row>
        <row r="33">
          <cell r="E33" t="str">
            <v>071543</v>
          </cell>
          <cell r="F33" t="str">
            <v>UFFCULME 33/11KV SITE 89</v>
          </cell>
          <cell r="G33" t="str">
            <v>NON IP</v>
          </cell>
        </row>
        <row r="34">
          <cell r="E34" t="str">
            <v>071544</v>
          </cell>
          <cell r="F34" t="str">
            <v>PLYMOUTH MERRIVALE RD SUB STN 91</v>
          </cell>
          <cell r="G34" t="str">
            <v>NON IP</v>
          </cell>
        </row>
        <row r="35">
          <cell r="E35" t="str">
            <v>071546</v>
          </cell>
          <cell r="F35" t="str">
            <v>PLYMOUTH ELIM TCE 33KV SUB STN 93</v>
          </cell>
          <cell r="G35" t="str">
            <v>NON IP</v>
          </cell>
        </row>
        <row r="36">
          <cell r="E36" t="str">
            <v>071547</v>
          </cell>
          <cell r="F36" t="str">
            <v>PLYMOUTH EGGBUCKLAND 33KV 94</v>
          </cell>
          <cell r="G36" t="str">
            <v>NON IP</v>
          </cell>
        </row>
        <row r="37">
          <cell r="E37" t="str">
            <v>071548</v>
          </cell>
          <cell r="F37" t="str">
            <v>PLYMOUTH SOUTHDOWN RD 95</v>
          </cell>
          <cell r="G37" t="str">
            <v>NON IP</v>
          </cell>
        </row>
        <row r="38">
          <cell r="E38" t="str">
            <v>071549</v>
          </cell>
          <cell r="F38" t="str">
            <v>EGGBUCKLAND S/S R/O 50 SHALLOW 96</v>
          </cell>
          <cell r="G38" t="str">
            <v>NON IP</v>
          </cell>
        </row>
        <row r="39">
          <cell r="E39" t="str">
            <v>071550</v>
          </cell>
          <cell r="F39" t="str">
            <v>PLYMOUTH ADJ 4 WESTLAKE RISE 97</v>
          </cell>
          <cell r="G39" t="str">
            <v>NON IP</v>
          </cell>
        </row>
        <row r="40">
          <cell r="E40" t="str">
            <v>071551</v>
          </cell>
          <cell r="F40" t="str">
            <v>IVYBRIDGE R/O FILHAM MOOR 98</v>
          </cell>
          <cell r="G40" t="str">
            <v>NON IP</v>
          </cell>
        </row>
        <row r="41">
          <cell r="E41" t="str">
            <v>071552</v>
          </cell>
          <cell r="F41" t="str">
            <v>PLYMOUTH CAMELS HEAD SUB STN 99</v>
          </cell>
          <cell r="G41" t="str">
            <v>NON IP</v>
          </cell>
        </row>
        <row r="42">
          <cell r="E42" t="str">
            <v>071553</v>
          </cell>
          <cell r="F42" t="str">
            <v>PLYMOUTH GOOSEWELL HILL 33KV 100</v>
          </cell>
          <cell r="G42" t="str">
            <v>NON IP</v>
          </cell>
        </row>
        <row r="43">
          <cell r="E43" t="str">
            <v>071557</v>
          </cell>
          <cell r="F43" t="str">
            <v>PLYMPTON MARKET ST S/S 2454 105</v>
          </cell>
          <cell r="G43" t="str">
            <v>NON IP</v>
          </cell>
        </row>
        <row r="44">
          <cell r="E44" t="str">
            <v>071560</v>
          </cell>
          <cell r="F44" t="str">
            <v>BRISTOL,CHURCH RD FILTON, 117</v>
          </cell>
          <cell r="G44" t="str">
            <v>IP</v>
          </cell>
        </row>
        <row r="45">
          <cell r="E45" t="str">
            <v>071561</v>
          </cell>
          <cell r="F45" t="str">
            <v>BRISTOL:S/S &amp; FLAT AT KNOWLE 121</v>
          </cell>
          <cell r="G45" t="str">
            <v>IP</v>
          </cell>
        </row>
        <row r="46">
          <cell r="E46" t="str">
            <v>071562</v>
          </cell>
          <cell r="F46" t="str">
            <v>BRISTOL,FLAT,&amp; S/S,ST.ANDREWS 123</v>
          </cell>
          <cell r="G46" t="str">
            <v>IP</v>
          </cell>
        </row>
        <row r="47">
          <cell r="E47" t="str">
            <v>071563</v>
          </cell>
          <cell r="F47" t="str">
            <v>SHIREHAMPTON SHOP AND S/S 124</v>
          </cell>
          <cell r="G47" t="str">
            <v>NON IP</v>
          </cell>
        </row>
        <row r="48">
          <cell r="E48" t="str">
            <v>071564</v>
          </cell>
          <cell r="F48" t="str">
            <v>WESTON-SUPER-MARE; WARNE ROAD</v>
          </cell>
          <cell r="G48" t="str">
            <v>NON IP</v>
          </cell>
        </row>
        <row r="49">
          <cell r="E49" t="str">
            <v>071565</v>
          </cell>
          <cell r="F49" t="str">
            <v>BRISTOL,WHITCHURCH,SPORTS GRND 131</v>
          </cell>
          <cell r="G49" t="str">
            <v>IP</v>
          </cell>
        </row>
        <row r="50">
          <cell r="E50" t="str">
            <v>071567</v>
          </cell>
          <cell r="F50" t="str">
            <v>PORTISHEAD:OLD MILL ROAD 138</v>
          </cell>
          <cell r="G50" t="str">
            <v>NON IP</v>
          </cell>
        </row>
        <row r="51">
          <cell r="E51" t="str">
            <v>071569</v>
          </cell>
          <cell r="F51" t="str">
            <v>AVONMOUTH,ST.ANDREWS ROAD 33KV 147</v>
          </cell>
          <cell r="G51" t="str">
            <v>NON IP</v>
          </cell>
        </row>
        <row r="52">
          <cell r="E52" t="str">
            <v>071577</v>
          </cell>
          <cell r="F52" t="str">
            <v>ILFRACOMBE SHOP &amp; OFFICES 207</v>
          </cell>
          <cell r="G52" t="str">
            <v>STOCK</v>
          </cell>
        </row>
        <row r="53">
          <cell r="E53" t="str">
            <v>071586</v>
          </cell>
          <cell r="F53" t="str">
            <v>PLYMPTON:LINKETTY LANE 33KV 307</v>
          </cell>
          <cell r="G53" t="str">
            <v>NON IP</v>
          </cell>
        </row>
        <row r="54">
          <cell r="E54" t="str">
            <v>071587</v>
          </cell>
          <cell r="F54" t="str">
            <v>BRIXHAM:CAR PARK LETTING</v>
          </cell>
          <cell r="G54" t="str">
            <v>NON IP</v>
          </cell>
        </row>
        <row r="55">
          <cell r="E55" t="str">
            <v>071592</v>
          </cell>
          <cell r="F55" t="str">
            <v>PLYMOUTH;BELGRAVE LANE 353</v>
          </cell>
          <cell r="G55" t="str">
            <v>NON IP</v>
          </cell>
        </row>
        <row r="56">
          <cell r="E56" t="str">
            <v>071595</v>
          </cell>
          <cell r="F56" t="str">
            <v>PLYMOUTH:HAYSTON PL.FUT.33KV. 358</v>
          </cell>
          <cell r="G56" t="str">
            <v>NON IP</v>
          </cell>
        </row>
        <row r="57">
          <cell r="E57" t="str">
            <v>071599</v>
          </cell>
          <cell r="F57" t="str">
            <v>NEWQUAY GRID COTTAGE 411</v>
          </cell>
          <cell r="G57" t="str">
            <v>IP</v>
          </cell>
        </row>
        <row r="58">
          <cell r="E58" t="str">
            <v>071605</v>
          </cell>
          <cell r="F58" t="str">
            <v>ADVERTISING SITES 500</v>
          </cell>
          <cell r="G58" t="str">
            <v>NON IP</v>
          </cell>
        </row>
        <row r="59">
          <cell r="E59" t="str">
            <v>071609</v>
          </cell>
          <cell r="F59" t="str">
            <v>LANGPORT, MOOR RHYNE, NORTH ST</v>
          </cell>
          <cell r="G59" t="str">
            <v>NON IP</v>
          </cell>
        </row>
        <row r="60">
          <cell r="E60" t="str">
            <v>071610</v>
          </cell>
          <cell r="F60" t="str">
            <v>WHITCHURCH WOODLEIGH GARDENS</v>
          </cell>
          <cell r="G60" t="str">
            <v>NON IP</v>
          </cell>
        </row>
        <row r="61">
          <cell r="E61" t="str">
            <v>071611</v>
          </cell>
          <cell r="F61" t="str">
            <v>3G SITES &amp; TELECOM LETTINGS</v>
          </cell>
          <cell r="G61" t="str">
            <v>IP</v>
          </cell>
        </row>
        <row r="62">
          <cell r="E62" t="str">
            <v>071620</v>
          </cell>
          <cell r="F62" t="str">
            <v>ST MELLONS (EASTERN BUSINESS PARK)</v>
          </cell>
          <cell r="G62" t="str">
            <v>IP</v>
          </cell>
        </row>
        <row r="63">
          <cell r="E63" t="str">
            <v>071621</v>
          </cell>
          <cell r="F63" t="str">
            <v>RHUDDLAN DEPOT</v>
          </cell>
          <cell r="G63" t="str">
            <v>IP</v>
          </cell>
        </row>
        <row r="64">
          <cell r="E64" t="str">
            <v>071622</v>
          </cell>
          <cell r="F64" t="str">
            <v>SAINSBURY'S SITE, LLEWELYN RD, CWMBRAN</v>
          </cell>
          <cell r="G64" t="str">
            <v>IP</v>
          </cell>
        </row>
        <row r="65">
          <cell r="E65" t="str">
            <v>071623</v>
          </cell>
          <cell r="F65" t="str">
            <v xml:space="preserve">CEFN FFOREST DEPOT, BLACKWOOD </v>
          </cell>
          <cell r="G65" t="str">
            <v>IP</v>
          </cell>
        </row>
        <row r="66">
          <cell r="E66" t="str">
            <v>071624</v>
          </cell>
          <cell r="F66" t="str">
            <v>7 OAK CLOSE, EXETER</v>
          </cell>
          <cell r="G66" t="str">
            <v>IP</v>
          </cell>
        </row>
        <row r="67">
          <cell r="E67" t="str">
            <v>071699</v>
          </cell>
          <cell r="F67" t="str">
            <v>EXT FREEHOLD - SUNDRY RENT</v>
          </cell>
          <cell r="G67" t="str">
            <v>As product code</v>
          </cell>
        </row>
        <row r="68">
          <cell r="E68" t="str">
            <v>071701</v>
          </cell>
          <cell r="F68" t="str">
            <v>STAPLE HILL SHOP 126</v>
          </cell>
          <cell r="G68" t="str">
            <v>IP</v>
          </cell>
        </row>
        <row r="69">
          <cell r="E69" t="str">
            <v>071703</v>
          </cell>
          <cell r="F69" t="str">
            <v>CONGRESBURY:BRISTOL ROAD,33KV 149</v>
          </cell>
          <cell r="G69" t="str">
            <v>NON IP</v>
          </cell>
        </row>
        <row r="70">
          <cell r="E70" t="str">
            <v>071704</v>
          </cell>
          <cell r="F70" t="str">
            <v>BARNSTAPLE LOCAL OFFICE 208</v>
          </cell>
          <cell r="G70" t="str">
            <v>NON IP</v>
          </cell>
        </row>
        <row r="71">
          <cell r="E71" t="str">
            <v>071707</v>
          </cell>
          <cell r="F71" t="str">
            <v>CREWKERNE SHOP &amp; OFFICES 226</v>
          </cell>
          <cell r="G71" t="str">
            <v>NON IP</v>
          </cell>
        </row>
        <row r="72">
          <cell r="E72" t="str">
            <v>071710</v>
          </cell>
          <cell r="F72" t="str">
            <v>BIDEFORD: GENERATING STATION 258</v>
          </cell>
          <cell r="G72" t="str">
            <v>NON IP</v>
          </cell>
        </row>
        <row r="73">
          <cell r="E73" t="str">
            <v>071712</v>
          </cell>
          <cell r="F73" t="str">
            <v>BRIXHAM SHOP 312</v>
          </cell>
          <cell r="G73" t="str">
            <v>IP</v>
          </cell>
        </row>
        <row r="74">
          <cell r="E74" t="str">
            <v>071715</v>
          </cell>
          <cell r="F74" t="str">
            <v>TOTNES ANTRIM TERRACE</v>
          </cell>
          <cell r="G74" t="str">
            <v>NON IP</v>
          </cell>
        </row>
        <row r="75">
          <cell r="E75" t="str">
            <v>071718</v>
          </cell>
          <cell r="F75" t="str">
            <v>PLYMOUTH LINE STORE</v>
          </cell>
          <cell r="G75" t="str">
            <v>NON IP</v>
          </cell>
        </row>
        <row r="76">
          <cell r="E76" t="str">
            <v>071720</v>
          </cell>
          <cell r="F76" t="str">
            <v>1 WARNE ROAD, WESTON SUPER MARE</v>
          </cell>
          <cell r="G76" t="str">
            <v>NON IP</v>
          </cell>
        </row>
        <row r="77">
          <cell r="E77" t="str">
            <v>071721</v>
          </cell>
          <cell r="F77" t="str">
            <v>MERCHANTS QUAY, BRISTOL</v>
          </cell>
          <cell r="G77" t="str">
            <v>IP</v>
          </cell>
        </row>
        <row r="78">
          <cell r="E78" t="str">
            <v>071723</v>
          </cell>
          <cell r="F78" t="str">
            <v>CARMARTHEN DEPOT ALLTYCYNAP JOHNSTOWN</v>
          </cell>
          <cell r="G78" t="str">
            <v>IP</v>
          </cell>
        </row>
        <row r="79">
          <cell r="E79" t="str">
            <v>071724</v>
          </cell>
          <cell r="F79" t="str">
            <v>LLANDRINDOD WELLS DEPOT</v>
          </cell>
          <cell r="G79" t="str">
            <v>NON IP</v>
          </cell>
        </row>
        <row r="80">
          <cell r="E80" t="str">
            <v>071729</v>
          </cell>
          <cell r="F80" t="str">
            <v>BUCKLEY CHESTER ROAD NR CONNAHS QUAY CLW</v>
          </cell>
          <cell r="G80" t="str">
            <v>IP</v>
          </cell>
        </row>
        <row r="81">
          <cell r="E81" t="str">
            <v>071732</v>
          </cell>
          <cell r="F81" t="str">
            <v>BRACKLA DEPOT TREMAINS RD BRIDGEND</v>
          </cell>
          <cell r="G81" t="str">
            <v>NON IP</v>
          </cell>
        </row>
        <row r="82">
          <cell r="E82" t="str">
            <v>071734</v>
          </cell>
          <cell r="F82" t="str">
            <v>WITHYBUSH DEPOT FISHGUARD HAVERFORD WEST</v>
          </cell>
          <cell r="G82" t="str">
            <v>NON IP</v>
          </cell>
        </row>
        <row r="83">
          <cell r="E83" t="str">
            <v>071742</v>
          </cell>
          <cell r="F83" t="str">
            <v>BARN FARM</v>
          </cell>
          <cell r="G83" t="str">
            <v>IP</v>
          </cell>
        </row>
        <row r="84">
          <cell r="E84" t="str">
            <v>071756</v>
          </cell>
          <cell r="F84" t="str">
            <v>SLUVAD FARM</v>
          </cell>
          <cell r="G84" t="str">
            <v>IP</v>
          </cell>
        </row>
        <row r="85">
          <cell r="E85" t="str">
            <v>071762</v>
          </cell>
          <cell r="F85" t="str">
            <v>4 GLAN YR AFON ELAN VALLEY</v>
          </cell>
          <cell r="G85" t="str">
            <v>NON IP</v>
          </cell>
        </row>
        <row r="86">
          <cell r="E86" t="str">
            <v>071771</v>
          </cell>
          <cell r="F86" t="str">
            <v>LLANISHEN RESERVOIR HOUSE CARDIFF</v>
          </cell>
          <cell r="G86" t="str">
            <v>STOCK</v>
          </cell>
        </row>
        <row r="87">
          <cell r="E87" t="str">
            <v>071772</v>
          </cell>
          <cell r="F87" t="str">
            <v>RESERVOIR HOUSE ST LYTHAMS WENVOE CARDIF</v>
          </cell>
          <cell r="G87" t="str">
            <v>STOCK</v>
          </cell>
        </row>
        <row r="88">
          <cell r="E88" t="str">
            <v>071774</v>
          </cell>
          <cell r="F88" t="str">
            <v>BETTWS SR</v>
          </cell>
          <cell r="G88" t="str">
            <v>IP</v>
          </cell>
        </row>
        <row r="89">
          <cell r="E89" t="str">
            <v>071775</v>
          </cell>
          <cell r="F89" t="str">
            <v>BOLTON HILL</v>
          </cell>
          <cell r="G89" t="str">
            <v>IP</v>
          </cell>
        </row>
        <row r="90">
          <cell r="E90" t="str">
            <v>071778</v>
          </cell>
          <cell r="F90" t="str">
            <v>CAERSEGAN RES</v>
          </cell>
          <cell r="G90" t="str">
            <v>IP</v>
          </cell>
        </row>
        <row r="91">
          <cell r="E91" t="str">
            <v>071780</v>
          </cell>
          <cell r="F91" t="str">
            <v>DYFFYN ISAF SEWAGE TREATMENT</v>
          </cell>
          <cell r="G91" t="str">
            <v>IP</v>
          </cell>
        </row>
        <row r="92">
          <cell r="E92" t="str">
            <v>071782</v>
          </cell>
          <cell r="F92" t="str">
            <v>GREENHILL RES</v>
          </cell>
          <cell r="G92" t="str">
            <v>IP</v>
          </cell>
        </row>
        <row r="93">
          <cell r="E93" t="str">
            <v>071783</v>
          </cell>
          <cell r="F93" t="str">
            <v>GWANNFELIN BLAENAVON</v>
          </cell>
          <cell r="G93" t="str">
            <v>IP</v>
          </cell>
        </row>
        <row r="94">
          <cell r="E94" t="str">
            <v>071785</v>
          </cell>
          <cell r="F94" t="str">
            <v>LLANSTEPHAN RES</v>
          </cell>
          <cell r="G94" t="str">
            <v>IP</v>
          </cell>
        </row>
        <row r="95">
          <cell r="E95" t="str">
            <v>071789</v>
          </cell>
          <cell r="F95" t="str">
            <v>MAESYRHIW RES</v>
          </cell>
          <cell r="G95" t="str">
            <v>IP</v>
          </cell>
        </row>
        <row r="96">
          <cell r="E96" t="str">
            <v>071791</v>
          </cell>
          <cell r="F96" t="str">
            <v>TREMDEG TANK</v>
          </cell>
          <cell r="G96" t="str">
            <v>IP</v>
          </cell>
        </row>
        <row r="97">
          <cell r="E97" t="str">
            <v>071792</v>
          </cell>
          <cell r="F97" t="str">
            <v>TYNEWYDD WTW</v>
          </cell>
          <cell r="G97" t="str">
            <v>IP</v>
          </cell>
        </row>
        <row r="98">
          <cell r="E98" t="str">
            <v>071801</v>
          </cell>
          <cell r="F98" t="str">
            <v>PLYMOUTH, C.A.O. 354</v>
          </cell>
          <cell r="G98" t="str">
            <v>IP</v>
          </cell>
        </row>
        <row r="99">
          <cell r="E99" t="str">
            <v>071850</v>
          </cell>
          <cell r="F99" t="str">
            <v>WESTON-SUPER-MARE SHOP 144</v>
          </cell>
          <cell r="G99" t="str">
            <v>IP</v>
          </cell>
        </row>
        <row r="100">
          <cell r="E100" t="str">
            <v>071854</v>
          </cell>
          <cell r="F100" t="str">
            <v>TAVISTOCK SHOP 319</v>
          </cell>
          <cell r="G100" t="str">
            <v>IP</v>
          </cell>
        </row>
        <row r="101">
          <cell r="E101" t="str">
            <v>071855</v>
          </cell>
          <cell r="F101" t="str">
            <v>PAIGNTON SHOP 335</v>
          </cell>
          <cell r="G101" t="str">
            <v>NON IP</v>
          </cell>
        </row>
        <row r="102">
          <cell r="E102" t="str">
            <v>071856</v>
          </cell>
          <cell r="F102" t="str">
            <v>BODMIN SHOP 401</v>
          </cell>
          <cell r="G102" t="str">
            <v>IP</v>
          </cell>
        </row>
        <row r="103">
          <cell r="E103" t="str">
            <v>071857</v>
          </cell>
          <cell r="F103" t="str">
            <v>REDRUTH SHOP 404</v>
          </cell>
          <cell r="G103" t="str">
            <v>IP</v>
          </cell>
        </row>
        <row r="104">
          <cell r="E104" t="str">
            <v>071950</v>
          </cell>
          <cell r="F104" t="str">
            <v>BARNSTAPLE:ROUNDSWELL 33KV 52</v>
          </cell>
          <cell r="G104" t="str">
            <v>NON IP</v>
          </cell>
        </row>
        <row r="105">
          <cell r="E105" t="str">
            <v>071954</v>
          </cell>
          <cell r="F105" t="str">
            <v>GWENT TY COCH DEPOT CWMBRAN DEPOT/GARAGE</v>
          </cell>
          <cell r="G105" t="str">
            <v>IP</v>
          </cell>
        </row>
        <row r="106">
          <cell r="E106" t="str">
            <v>071955</v>
          </cell>
          <cell r="F106" t="str">
            <v>CHURCH VILLAGE MID GLAMORGAN OFFICE/DEPO</v>
          </cell>
          <cell r="G106" t="str">
            <v>IP</v>
          </cell>
        </row>
        <row r="107">
          <cell r="E107" t="str">
            <v>071956</v>
          </cell>
          <cell r="F107" t="str">
            <v>LLANFIHANGLE-AR-ARTH PENCADER OFFICE/DEP</v>
          </cell>
          <cell r="G107" t="str">
            <v>NON IP</v>
          </cell>
        </row>
        <row r="108">
          <cell r="E108" t="str">
            <v>071957</v>
          </cell>
          <cell r="F108" t="str">
            <v>BRECON DEPOT CANAL ROAD BRECON POWYS OFF</v>
          </cell>
          <cell r="G108" t="str">
            <v>NON IP</v>
          </cell>
        </row>
        <row r="109">
          <cell r="E109" t="str">
            <v>071958</v>
          </cell>
          <cell r="F109" t="str">
            <v>HOWARD COURT DARESBURY RUNCORN CHESTER O</v>
          </cell>
          <cell r="G109" t="str">
            <v>IP</v>
          </cell>
        </row>
        <row r="110">
          <cell r="E110" t="str">
            <v>072001</v>
          </cell>
          <cell r="F110" t="str">
            <v>RADIO SITE:IBBERTON DOWN 32</v>
          </cell>
          <cell r="G110" t="str">
            <v>NON IP</v>
          </cell>
        </row>
        <row r="111">
          <cell r="E111" t="str">
            <v>072002</v>
          </cell>
          <cell r="F111" t="str">
            <v>RADIO SITE:EGGARDON HILL 33</v>
          </cell>
          <cell r="G111" t="str">
            <v>NON IP</v>
          </cell>
        </row>
        <row r="112">
          <cell r="E112" t="str">
            <v>072050</v>
          </cell>
          <cell r="F112" t="str">
            <v>TAUNTON TRAINING CENTRE 248</v>
          </cell>
          <cell r="G112" t="str">
            <v>NON IP</v>
          </cell>
        </row>
        <row r="113">
          <cell r="E113" t="str">
            <v>072101</v>
          </cell>
          <cell r="F113" t="str">
            <v>AVONBANK  FEEDER ROAD 116</v>
          </cell>
          <cell r="G113" t="str">
            <v>IP</v>
          </cell>
        </row>
        <row r="114">
          <cell r="E114" t="str">
            <v>072103</v>
          </cell>
          <cell r="F114" t="str">
            <v>WELLS SHOP AND OFFICES 150</v>
          </cell>
          <cell r="G114" t="str">
            <v>IP</v>
          </cell>
        </row>
        <row r="115">
          <cell r="E115" t="str">
            <v>072104</v>
          </cell>
          <cell r="F115" t="str">
            <v>CREWKERNE:OFFICES,STORES,WORKS 227</v>
          </cell>
          <cell r="G115" t="str">
            <v>NON IP</v>
          </cell>
        </row>
        <row r="116">
          <cell r="E116" t="str">
            <v>072105</v>
          </cell>
          <cell r="F116" t="str">
            <v>WATCOMBE POTTERIES COMPLEX</v>
          </cell>
          <cell r="G116" t="str">
            <v>NON IP</v>
          </cell>
        </row>
        <row r="117">
          <cell r="E117" t="str">
            <v>072111</v>
          </cell>
          <cell r="F117" t="str">
            <v>SOWTON ENGINEERING DEPOT</v>
          </cell>
          <cell r="G117" t="str">
            <v>NON IP</v>
          </cell>
        </row>
        <row r="118">
          <cell r="E118" t="str">
            <v>072112</v>
          </cell>
          <cell r="F118" t="str">
            <v>SOWTON:LOCAL OFFICE &amp; C.A.S. 347</v>
          </cell>
          <cell r="G118" t="str">
            <v>IP</v>
          </cell>
        </row>
        <row r="119">
          <cell r="E119" t="str">
            <v>072113</v>
          </cell>
          <cell r="F119" t="str">
            <v>BODMIN OFFICES STORES 400</v>
          </cell>
          <cell r="G119" t="str">
            <v>NON IP</v>
          </cell>
        </row>
        <row r="120">
          <cell r="E120" t="str">
            <v>072114</v>
          </cell>
          <cell r="F120" t="str">
            <v>POOL:CORNWALL AREA OFFICES 422</v>
          </cell>
          <cell r="G120" t="str">
            <v>NON IP</v>
          </cell>
        </row>
        <row r="121">
          <cell r="E121" t="str">
            <v>072127</v>
          </cell>
          <cell r="F121" t="str">
            <v>LLANISHEN RESERVOIR CARDIFF - 01130780</v>
          </cell>
          <cell r="G121" t="str">
            <v>STOCK</v>
          </cell>
        </row>
        <row r="122">
          <cell r="E122" t="str">
            <v>072162</v>
          </cell>
          <cell r="F122" t="str">
            <v xml:space="preserve"> LISVANE/LLANISHEN IMPONDING RE</v>
          </cell>
          <cell r="G122" t="str">
            <v>STOCK</v>
          </cell>
        </row>
        <row r="123">
          <cell r="E123" t="str">
            <v>072200</v>
          </cell>
          <cell r="F123" t="str">
            <v>EXMOUTH MARPOOL HILL 90</v>
          </cell>
          <cell r="G123" t="str">
            <v>NON IP</v>
          </cell>
        </row>
        <row r="124">
          <cell r="E124" t="str">
            <v>072202</v>
          </cell>
          <cell r="F124" t="str">
            <v>LOCKLEAZE:ROMNEY AVENUE 108</v>
          </cell>
          <cell r="G124" t="str">
            <v>IP</v>
          </cell>
        </row>
        <row r="125">
          <cell r="E125" t="str">
            <v>072203</v>
          </cell>
          <cell r="F125" t="str">
            <v>MIDSOMER NORTON SHOP &amp; FLAT 135</v>
          </cell>
          <cell r="G125" t="str">
            <v>IP</v>
          </cell>
        </row>
        <row r="126">
          <cell r="E126" t="str">
            <v>072204</v>
          </cell>
          <cell r="F126" t="str">
            <v>WESTON-S-M,168 LOCKING ROAD 151</v>
          </cell>
          <cell r="G126" t="str">
            <v>IP</v>
          </cell>
        </row>
        <row r="127">
          <cell r="E127" t="str">
            <v>072205</v>
          </cell>
          <cell r="F127" t="str">
            <v>BRIDGWATER SHOP FLAT OFFICES 205</v>
          </cell>
          <cell r="G127" t="str">
            <v>IP</v>
          </cell>
        </row>
        <row r="128">
          <cell r="E128" t="str">
            <v>072206</v>
          </cell>
          <cell r="F128" t="str">
            <v>WELLINGTON SHOP FLAT 210</v>
          </cell>
          <cell r="G128" t="str">
            <v>IP</v>
          </cell>
        </row>
        <row r="129">
          <cell r="E129" t="str">
            <v>072207</v>
          </cell>
          <cell r="F129" t="str">
            <v>TAUNTON SHOP AND OFFICES 215</v>
          </cell>
          <cell r="G129" t="str">
            <v>IP</v>
          </cell>
        </row>
        <row r="130">
          <cell r="E130" t="str">
            <v>072209</v>
          </cell>
          <cell r="F130" t="str">
            <v>BRIDPORT GENERATING STATION 246</v>
          </cell>
          <cell r="G130" t="str">
            <v>NON IP</v>
          </cell>
        </row>
        <row r="131">
          <cell r="E131" t="str">
            <v>072210</v>
          </cell>
          <cell r="F131" t="str">
            <v>TEIGNMOUTH SHOP 321</v>
          </cell>
          <cell r="G131" t="str">
            <v>IP</v>
          </cell>
        </row>
        <row r="132">
          <cell r="E132" t="str">
            <v>072216</v>
          </cell>
          <cell r="F132" t="str">
            <v>TRURO SHOP AND OFFICES 403</v>
          </cell>
          <cell r="G132" t="str">
            <v>IP</v>
          </cell>
        </row>
        <row r="133">
          <cell r="E133" t="str">
            <v>072217</v>
          </cell>
          <cell r="F133" t="str">
            <v>STABLE HOBBA NEWLYN</v>
          </cell>
          <cell r="G133" t="str">
            <v>NON IP</v>
          </cell>
        </row>
        <row r="134">
          <cell r="E134" t="str">
            <v>072219</v>
          </cell>
          <cell r="F134" t="str">
            <v>ST.AUSTELL SHOP &amp; OFFICES 423</v>
          </cell>
          <cell r="G134" t="str">
            <v>IP</v>
          </cell>
        </row>
        <row r="135">
          <cell r="E135" t="str">
            <v>072220</v>
          </cell>
          <cell r="F135" t="str">
            <v>PENZANCE SHOP AND OFFICES 428</v>
          </cell>
          <cell r="G135" t="str">
            <v>IP</v>
          </cell>
        </row>
        <row r="136">
          <cell r="E136" t="str">
            <v>072263</v>
          </cell>
          <cell r="F136" t="str">
            <v>WHITCHURCH BRIS.HOUSE PLOT  129</v>
          </cell>
          <cell r="G136" t="str">
            <v>STOCK</v>
          </cell>
        </row>
        <row r="137">
          <cell r="E137" t="str">
            <v>072269</v>
          </cell>
          <cell r="F137" t="str">
            <v>BRISTOL:S/S IN HOUSE HOTWELLS</v>
          </cell>
          <cell r="G137" t="str">
            <v>NON IP</v>
          </cell>
        </row>
        <row r="138">
          <cell r="E138" t="str">
            <v>072283</v>
          </cell>
          <cell r="F138" t="str">
            <v>LONG ROAD, WADDETON POST 336</v>
          </cell>
          <cell r="G138" t="str">
            <v>STOCK</v>
          </cell>
        </row>
        <row r="139">
          <cell r="E139" t="str">
            <v>072285</v>
          </cell>
          <cell r="F139" t="str">
            <v>PLYMOUTH:PRINCE ROCK 33KV S/S 357</v>
          </cell>
          <cell r="G139" t="str">
            <v>IP</v>
          </cell>
        </row>
        <row r="140">
          <cell r="E140" t="str">
            <v>072289</v>
          </cell>
          <cell r="F140" t="str">
            <v>GLASTONBURY:RESIDENTIAL SITE 420</v>
          </cell>
          <cell r="G140" t="str">
            <v>NON IP</v>
          </cell>
        </row>
        <row r="141">
          <cell r="E141" t="str">
            <v>072293</v>
          </cell>
          <cell r="F141" t="str">
            <v>TRESIWITHIANS CAMBOURNE [LAND] 442</v>
          </cell>
          <cell r="G141" t="str">
            <v>NON IP</v>
          </cell>
        </row>
        <row r="142">
          <cell r="E142" t="str">
            <v>072295</v>
          </cell>
          <cell r="F142" t="str">
            <v>LOGGANS ROAD HAYLE LAND XD OH</v>
          </cell>
          <cell r="G142" t="str">
            <v>NON IP</v>
          </cell>
        </row>
        <row r="143">
          <cell r="E143" t="str">
            <v>072310</v>
          </cell>
          <cell r="F143" t="str">
            <v>PONTARDULAIS DEPOT, NEW RD</v>
          </cell>
          <cell r="G143" t="str">
            <v>NON IP</v>
          </cell>
        </row>
        <row r="144">
          <cell r="E144" t="str">
            <v>072313</v>
          </cell>
          <cell r="F144" t="str">
            <v>147 - 151 RHYDYPENAU RD, LLANISHEN</v>
          </cell>
          <cell r="G144" t="str">
            <v>STOCK</v>
          </cell>
        </row>
        <row r="145">
          <cell r="E145" t="str">
            <v>072314</v>
          </cell>
          <cell r="F145" t="str">
            <v>CRUMLIN 33KV S/S</v>
          </cell>
          <cell r="G145" t="str">
            <v>NON IP</v>
          </cell>
        </row>
        <row r="146">
          <cell r="E146" t="str">
            <v>072315</v>
          </cell>
          <cell r="F146" t="str">
            <v>AVONBANK - WAREHOUSE STORAGE</v>
          </cell>
          <cell r="G146" t="str">
            <v>NON IP</v>
          </cell>
        </row>
        <row r="147">
          <cell r="E147" t="str">
            <v>072317</v>
          </cell>
          <cell r="F147" t="str">
            <v>TY NEWYDD, TREHERBERT, TREORC</v>
          </cell>
          <cell r="G147" t="str">
            <v>NON IP</v>
          </cell>
        </row>
        <row r="148">
          <cell r="E148" t="str">
            <v>072319</v>
          </cell>
          <cell r="F148" t="str">
            <v>Bolton Hill No. 2, Haverfordwest</v>
          </cell>
          <cell r="G148" t="str">
            <v>NON IP</v>
          </cell>
        </row>
        <row r="149">
          <cell r="E149" t="str">
            <v>072320</v>
          </cell>
          <cell r="F149" t="str">
            <v>CEFN COED FORMER SEWERAGE WORK</v>
          </cell>
          <cell r="G149" t="str">
            <v>NON IP</v>
          </cell>
        </row>
        <row r="150">
          <cell r="E150" t="str">
            <v>072329</v>
          </cell>
          <cell r="F150" t="str">
            <v>RAW DYKES ROAD</v>
          </cell>
          <cell r="G150" t="str">
            <v>IP</v>
          </cell>
        </row>
        <row r="151">
          <cell r="E151" t="str">
            <v>072400</v>
          </cell>
          <cell r="F151" t="str">
            <v>AZTEC WEST,UNIT 290,ANNEXE 23</v>
          </cell>
          <cell r="G151" t="str">
            <v>NON IP</v>
          </cell>
        </row>
        <row r="152">
          <cell r="E152" t="str">
            <v>072452</v>
          </cell>
          <cell r="F152" t="str">
            <v>BRISTOL AIRPORT HELICOPTER UNI 10</v>
          </cell>
          <cell r="G152" t="str">
            <v>NON IP</v>
          </cell>
        </row>
        <row r="153">
          <cell r="E153" t="str">
            <v>072461</v>
          </cell>
          <cell r="F153" t="str">
            <v>PLYMOUTH:CAR PARK,ELLIOT RD 328</v>
          </cell>
          <cell r="G153" t="str">
            <v>NON IP</v>
          </cell>
        </row>
        <row r="154">
          <cell r="E154" t="str">
            <v>072467</v>
          </cell>
          <cell r="F154" t="str">
            <v>HAWTHORNE HOUSE SWANSEA OFFICE</v>
          </cell>
          <cell r="G154" t="str">
            <v>NON IP</v>
          </cell>
        </row>
        <row r="155">
          <cell r="E155" t="str">
            <v>072470</v>
          </cell>
          <cell r="F155" t="str">
            <v>LAMBY WAY MAERDY RD IND EST RUMNEY CARDI</v>
          </cell>
          <cell r="G155" t="str">
            <v>NON IP</v>
          </cell>
        </row>
        <row r="156">
          <cell r="E156" t="str">
            <v>072473</v>
          </cell>
          <cell r="F156" t="str">
            <v>FFYNNON MENTER OFFICES</v>
          </cell>
          <cell r="G156" t="str">
            <v>IP</v>
          </cell>
        </row>
        <row r="157">
          <cell r="E157" t="str">
            <v>072520</v>
          </cell>
          <cell r="F157" t="str">
            <v>BARNSTAPLE NEW SHOP 10</v>
          </cell>
          <cell r="G157" t="str">
            <v>NON IP</v>
          </cell>
        </row>
        <row r="158">
          <cell r="E158" t="str">
            <v>072521</v>
          </cell>
          <cell r="F158" t="str">
            <v>CHARD NEW SHOP 11</v>
          </cell>
          <cell r="G158" t="str">
            <v>NON IP</v>
          </cell>
        </row>
        <row r="159">
          <cell r="E159" t="str">
            <v>072528</v>
          </cell>
          <cell r="F159" t="str">
            <v>CAMARTHEN SHOP</v>
          </cell>
          <cell r="G159" t="str">
            <v>NON IP</v>
          </cell>
        </row>
        <row r="160">
          <cell r="E160" t="str">
            <v>072533</v>
          </cell>
          <cell r="F160" t="str">
            <v>TREORCHY SHOP 45</v>
          </cell>
          <cell r="G160" t="str">
            <v>NON IP</v>
          </cell>
        </row>
        <row r="161">
          <cell r="E161" t="str">
            <v>072534</v>
          </cell>
          <cell r="F161" t="str">
            <v>PORTH SHOP 46</v>
          </cell>
          <cell r="G161" t="str">
            <v>NON IP</v>
          </cell>
        </row>
        <row r="162">
          <cell r="E162" t="str">
            <v>072535</v>
          </cell>
          <cell r="F162" t="str">
            <v>ABERGAVENNY SHOP-STORES &amp; YARD</v>
          </cell>
          <cell r="G162" t="str">
            <v>NON IP</v>
          </cell>
        </row>
        <row r="163">
          <cell r="E163" t="str">
            <v>072551</v>
          </cell>
          <cell r="F163" t="str">
            <v>LISKEARD SHOP 415</v>
          </cell>
          <cell r="G163" t="str">
            <v>NON IP</v>
          </cell>
        </row>
        <row r="164">
          <cell r="E164" t="str">
            <v>072553</v>
          </cell>
          <cell r="F164" t="str">
            <v>NEATH SHOP 614</v>
          </cell>
          <cell r="G164" t="str">
            <v>NON IP</v>
          </cell>
        </row>
        <row r="165">
          <cell r="E165" t="str">
            <v>072558</v>
          </cell>
          <cell r="F165" t="str">
            <v>BARRY SHOP 619</v>
          </cell>
          <cell r="G165" t="str">
            <v>NON IP</v>
          </cell>
        </row>
        <row r="166">
          <cell r="E166" t="str">
            <v>072559</v>
          </cell>
          <cell r="F166" t="str">
            <v>BLACKWOOD SHOP 620</v>
          </cell>
          <cell r="G166" t="str">
            <v>NON IP</v>
          </cell>
        </row>
        <row r="167">
          <cell r="E167" t="str">
            <v>072704</v>
          </cell>
          <cell r="F167" t="str">
            <v>PRINCETOWN DEVON,MASONIC HALL 304</v>
          </cell>
          <cell r="G167" t="str">
            <v>NON IP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y vs. Lease Car (3)"/>
      <sheetName val="example calc for implicit rate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ill, Jennifer S" id="{D875CB4B-3DF7-4679-B0B8-56AC6833400B}" userId="S::jshill1@usi.edu::6e30e10f-34d4-41ca-ba27-dffd6df8360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1-05-17T21:02:13.29" personId="{D875CB4B-3DF7-4679-B0B8-56AC6833400B}" id="{A5B52C8B-346D-433F-BF19-4EBA318650BA}">
    <text>If no interest rate is provided in the lease contract use the calculation for the implicit rate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1-05-17T21:06:20.82" personId="{D875CB4B-3DF7-4679-B0B8-56AC6833400B}" id="{1E06DA0B-8D5A-4E93-95F5-9B853E361906}">
    <text>If not interest rate is provided in the lease contract use the calc for the implicit rate</text>
  </threadedComment>
  <threadedComment ref="G17" dT="2021-05-14T21:14:00.82" personId="{D875CB4B-3DF7-4679-B0B8-56AC6833400B}" id="{5107A6D9-C4D2-4982-A885-EFC8B4EDECEC}">
    <text>obtain loan rate from bank/credit union website for applicable term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45EE-B290-49D5-9636-FFB5DA02C99D}">
  <sheetPr>
    <tabColor indexed="45"/>
    <pageSetUpPr autoPageBreaks="0"/>
  </sheetPr>
  <dimension ref="A1:V48"/>
  <sheetViews>
    <sheetView showGridLines="0" tabSelected="1" zoomScaleNormal="100" workbookViewId="0">
      <selection activeCell="M9" sqref="M9"/>
    </sheetView>
  </sheetViews>
  <sheetFormatPr defaultColWidth="9.109375" defaultRowHeight="12.6" x14ac:dyDescent="0.2"/>
  <cols>
    <col min="1" max="1" width="1" style="2" customWidth="1"/>
    <col min="2" max="2" width="32.6640625" style="2" customWidth="1"/>
    <col min="3" max="3" width="15" style="2" customWidth="1"/>
    <col min="4" max="4" width="1.5546875" style="2" customWidth="1"/>
    <col min="5" max="5" width="2.44140625" style="2" customWidth="1"/>
    <col min="6" max="6" width="27.6640625" style="2" customWidth="1"/>
    <col min="7" max="7" width="14.88671875" style="2" customWidth="1"/>
    <col min="8" max="8" width="1.5546875" style="2" customWidth="1"/>
    <col min="9" max="16384" width="9.109375" style="2"/>
  </cols>
  <sheetData>
    <row r="1" spans="1:22" ht="20.25" customHeight="1" x14ac:dyDescent="0.2">
      <c r="A1" s="1"/>
      <c r="B1" s="1"/>
      <c r="C1" s="1"/>
      <c r="D1" s="1"/>
      <c r="E1" s="1"/>
      <c r="F1" s="1"/>
      <c r="G1" s="1"/>
      <c r="H1" s="1"/>
    </row>
    <row r="2" spans="1:22" ht="29.25" customHeight="1" x14ac:dyDescent="0.3">
      <c r="A2" s="1"/>
      <c r="B2" s="80" t="s">
        <v>73</v>
      </c>
      <c r="C2" s="47"/>
      <c r="D2" s="48"/>
      <c r="E2" s="47"/>
      <c r="F2" s="49" t="s">
        <v>42</v>
      </c>
      <c r="G2" s="91"/>
      <c r="H2" s="91"/>
      <c r="V2" s="2" t="s">
        <v>70</v>
      </c>
    </row>
    <row r="3" spans="1:22" ht="17.25" customHeight="1" x14ac:dyDescent="0.3">
      <c r="A3" s="1"/>
      <c r="C3" s="3"/>
      <c r="D3" s="3"/>
      <c r="E3" s="6"/>
      <c r="F3" s="5"/>
      <c r="G3" s="1"/>
      <c r="H3" s="4"/>
      <c r="V3" s="2" t="s">
        <v>44</v>
      </c>
    </row>
    <row r="4" spans="1:22" s="9" customFormat="1" ht="16.5" customHeight="1" x14ac:dyDescent="0.2">
      <c r="A4" s="7"/>
      <c r="B4" s="12"/>
      <c r="C4" s="23" t="s">
        <v>38</v>
      </c>
      <c r="D4" s="14"/>
      <c r="E4" s="8"/>
      <c r="F4" s="12"/>
      <c r="G4" s="23" t="s">
        <v>39</v>
      </c>
      <c r="H4" s="15"/>
    </row>
    <row r="5" spans="1:22" ht="12" customHeight="1" x14ac:dyDescent="0.2">
      <c r="A5" s="1"/>
      <c r="B5" s="53"/>
      <c r="C5" s="35"/>
      <c r="D5" s="52"/>
      <c r="E5" s="61"/>
      <c r="F5" s="53"/>
      <c r="G5" s="35"/>
      <c r="H5" s="52"/>
    </row>
    <row r="6" spans="1:22" ht="14.1" customHeight="1" x14ac:dyDescent="0.2">
      <c r="A6" s="1"/>
      <c r="B6" s="28" t="s">
        <v>8</v>
      </c>
      <c r="C6" s="32">
        <v>0</v>
      </c>
      <c r="D6" s="62"/>
      <c r="E6" s="61"/>
      <c r="F6" s="28" t="s">
        <v>8</v>
      </c>
      <c r="G6" s="42">
        <v>0</v>
      </c>
      <c r="H6" s="52"/>
    </row>
    <row r="7" spans="1:22" ht="14.1" customHeight="1" x14ac:dyDescent="0.2">
      <c r="A7" s="1"/>
      <c r="B7" s="28" t="s">
        <v>9</v>
      </c>
      <c r="C7" s="33">
        <v>0</v>
      </c>
      <c r="D7" s="63"/>
      <c r="E7" s="61"/>
      <c r="F7" s="28" t="s">
        <v>9</v>
      </c>
      <c r="G7" s="43">
        <f>C7</f>
        <v>0</v>
      </c>
      <c r="H7" s="52"/>
    </row>
    <row r="8" spans="1:22" ht="14.1" customHeight="1" x14ac:dyDescent="0.2">
      <c r="A8" s="1"/>
      <c r="B8" s="28" t="s">
        <v>10</v>
      </c>
      <c r="C8" s="33">
        <v>0</v>
      </c>
      <c r="D8" s="63"/>
      <c r="E8" s="61"/>
      <c r="F8" s="28"/>
      <c r="G8" s="44"/>
      <c r="H8" s="52"/>
    </row>
    <row r="9" spans="1:22" ht="14.1" customHeight="1" x14ac:dyDescent="0.2">
      <c r="A9" s="1"/>
      <c r="B9" s="28" t="s">
        <v>11</v>
      </c>
      <c r="C9" s="33">
        <v>0</v>
      </c>
      <c r="D9" s="63"/>
      <c r="E9" s="61"/>
      <c r="F9" s="28"/>
      <c r="G9" s="44"/>
      <c r="H9" s="52"/>
    </row>
    <row r="10" spans="1:22" ht="14.1" customHeight="1" x14ac:dyDescent="0.2">
      <c r="A10" s="1"/>
      <c r="B10" s="28" t="s">
        <v>12</v>
      </c>
      <c r="C10" s="34">
        <v>0</v>
      </c>
      <c r="D10" s="63"/>
      <c r="E10" s="61"/>
      <c r="F10" s="28" t="s">
        <v>24</v>
      </c>
      <c r="G10" s="45">
        <f>C10</f>
        <v>0</v>
      </c>
      <c r="H10" s="52"/>
    </row>
    <row r="11" spans="1:22" ht="12" customHeight="1" x14ac:dyDescent="0.2">
      <c r="A11" s="1"/>
      <c r="B11" s="28"/>
      <c r="C11" s="35"/>
      <c r="D11" s="52"/>
      <c r="E11" s="61"/>
      <c r="F11" s="28"/>
      <c r="G11" s="44"/>
      <c r="H11" s="52"/>
    </row>
    <row r="12" spans="1:22" ht="14.1" customHeight="1" x14ac:dyDescent="0.2">
      <c r="A12" s="1"/>
      <c r="B12" s="28" t="s">
        <v>13</v>
      </c>
      <c r="C12" s="36"/>
      <c r="D12" s="64"/>
      <c r="E12" s="61"/>
      <c r="F12" s="28"/>
      <c r="G12" s="44"/>
      <c r="H12" s="52"/>
    </row>
    <row r="13" spans="1:22" ht="14.1" customHeight="1" x14ac:dyDescent="0.2">
      <c r="A13" s="1"/>
      <c r="B13" s="28" t="s">
        <v>14</v>
      </c>
      <c r="C13" s="37" t="str">
        <f ca="1">IF(CELL("type",C12)="b","",IF(LEFT(C12,1)="y",C9,0))</f>
        <v/>
      </c>
      <c r="D13" s="65"/>
      <c r="E13" s="61"/>
      <c r="F13" s="28"/>
      <c r="G13" s="44"/>
      <c r="H13" s="52"/>
    </row>
    <row r="14" spans="1:22" ht="14.1" customHeight="1" x14ac:dyDescent="0.2">
      <c r="A14" s="1"/>
      <c r="B14" s="28" t="s">
        <v>15</v>
      </c>
      <c r="C14" s="33">
        <v>0</v>
      </c>
      <c r="D14" s="63"/>
      <c r="E14" s="61"/>
      <c r="F14" s="28" t="s">
        <v>25</v>
      </c>
      <c r="G14" s="40" t="str">
        <f>IF(C14,C14,"")</f>
        <v/>
      </c>
      <c r="H14" s="52"/>
    </row>
    <row r="15" spans="1:22" ht="14.1" customHeight="1" x14ac:dyDescent="0.2">
      <c r="A15" s="1"/>
      <c r="B15" s="28" t="s">
        <v>16</v>
      </c>
      <c r="C15" s="33">
        <v>0</v>
      </c>
      <c r="D15" s="63"/>
      <c r="E15" s="61"/>
      <c r="F15" s="28" t="s">
        <v>26</v>
      </c>
      <c r="G15" s="37" t="str">
        <f>IF(AND(OR(SUM(G6)&gt;0,SUM(G17)),SUM(G16)),PMT(G17/12,G16,-(G6-G10)),"")</f>
        <v/>
      </c>
      <c r="H15" s="52"/>
    </row>
    <row r="16" spans="1:22" ht="14.1" customHeight="1" x14ac:dyDescent="0.2">
      <c r="A16" s="1"/>
      <c r="B16" s="28" t="s">
        <v>17</v>
      </c>
      <c r="C16" s="33">
        <v>0</v>
      </c>
      <c r="D16" s="63"/>
      <c r="E16" s="61"/>
      <c r="F16" s="28" t="s">
        <v>27</v>
      </c>
      <c r="G16" s="37" t="str">
        <f>IF(C16,C16,"")</f>
        <v/>
      </c>
      <c r="H16" s="52"/>
    </row>
    <row r="17" spans="1:9" ht="14.1" customHeight="1" x14ac:dyDescent="0.2">
      <c r="A17" s="1"/>
      <c r="B17" s="28" t="s">
        <v>18</v>
      </c>
      <c r="C17" s="38">
        <f>'calc for implicit rate'!B16</f>
        <v>0</v>
      </c>
      <c r="D17" s="55"/>
      <c r="E17" s="61"/>
      <c r="F17" s="28" t="s">
        <v>28</v>
      </c>
      <c r="G17" s="38">
        <v>0</v>
      </c>
      <c r="H17" s="52"/>
    </row>
    <row r="18" spans="1:9" ht="12" customHeight="1" x14ac:dyDescent="0.2">
      <c r="A18" s="1"/>
      <c r="B18" s="28"/>
      <c r="C18" s="35"/>
      <c r="D18" s="52"/>
      <c r="E18" s="61"/>
      <c r="F18" s="28"/>
      <c r="G18" s="35"/>
      <c r="H18" s="52"/>
    </row>
    <row r="19" spans="1:9" ht="14.1" customHeight="1" x14ac:dyDescent="0.2">
      <c r="A19" s="1"/>
      <c r="B19" s="28" t="s">
        <v>19</v>
      </c>
      <c r="C19" s="39" t="str">
        <f ca="1">IF(OR(OR(C17&gt;0,C16),C13),(1+C17/12)^C16*C13,"")</f>
        <v/>
      </c>
      <c r="D19" s="65"/>
      <c r="E19" s="61"/>
      <c r="F19" s="28" t="s">
        <v>29</v>
      </c>
      <c r="G19" s="39" t="str">
        <f>IF(OR(OR(C17&gt;0,C16),C14),((1+C17/12)^-C16)*C14,"")</f>
        <v/>
      </c>
      <c r="H19" s="52"/>
    </row>
    <row r="20" spans="1:9" ht="12" customHeight="1" x14ac:dyDescent="0.2">
      <c r="A20" s="1"/>
      <c r="B20" s="28"/>
      <c r="C20" s="35"/>
      <c r="D20" s="52"/>
      <c r="E20" s="61"/>
      <c r="F20" s="28"/>
      <c r="G20" s="35"/>
      <c r="H20" s="52"/>
    </row>
    <row r="21" spans="1:9" ht="14.1" customHeight="1" x14ac:dyDescent="0.2">
      <c r="A21" s="1"/>
      <c r="B21" s="28" t="s">
        <v>20</v>
      </c>
      <c r="C21" s="40" t="str">
        <f ca="1">IF(SUM(C7:C10,C13),SUM(C7:C10,C13),"")</f>
        <v/>
      </c>
      <c r="D21" s="65"/>
      <c r="E21" s="61"/>
      <c r="F21" s="28" t="s">
        <v>20</v>
      </c>
      <c r="G21" s="40" t="str">
        <f>IF(OR(SUM(G7)&gt;0,G10),+G7+G10,"")</f>
        <v/>
      </c>
      <c r="H21" s="52"/>
    </row>
    <row r="22" spans="1:9" ht="14.1" customHeight="1" x14ac:dyDescent="0.2">
      <c r="A22" s="1"/>
      <c r="B22" s="28" t="s">
        <v>21</v>
      </c>
      <c r="C22" s="37" t="str">
        <f>IF(AND(C15&gt;0,C17),PV(C17/12,C16-IF(C13,1,0),-C15),"")</f>
        <v/>
      </c>
      <c r="D22" s="65"/>
      <c r="E22" s="61"/>
      <c r="F22" s="28" t="s">
        <v>21</v>
      </c>
      <c r="G22" s="43" t="str">
        <f>IF(OR(OR(SUM(G15)&gt;0,C17),G16),PV(C17/12,G16,-G15),"")</f>
        <v/>
      </c>
      <c r="H22" s="52"/>
    </row>
    <row r="23" spans="1:9" ht="14.1" customHeight="1" x14ac:dyDescent="0.2">
      <c r="A23" s="1"/>
      <c r="B23" s="28" t="s">
        <v>22</v>
      </c>
      <c r="C23" s="37" t="str">
        <f>IF(OR(OR(C17&gt;0,C16),C8),((1+C17/12)^-C16)*-C8,"")</f>
        <v/>
      </c>
      <c r="D23" s="65"/>
      <c r="E23" s="61"/>
      <c r="F23" s="28"/>
      <c r="G23" s="44"/>
      <c r="H23" s="52"/>
    </row>
    <row r="24" spans="1:9" ht="14.1" customHeight="1" x14ac:dyDescent="0.2">
      <c r="A24" s="1"/>
      <c r="B24" s="28" t="s">
        <v>23</v>
      </c>
      <c r="C24" s="41" t="str">
        <f ca="1">IF(SUM(C21:C23),SUM(C21:C23),"")</f>
        <v/>
      </c>
      <c r="D24" s="66"/>
      <c r="E24" s="67"/>
      <c r="F24" s="28" t="s">
        <v>23</v>
      </c>
      <c r="G24" s="46" t="str">
        <f>IF(OR(OR(SUM(G21)&gt;0,SUM(G22)),SUM(G19)),SUM(G21)+SUM(G22)-SUM(G19),"")</f>
        <v/>
      </c>
      <c r="H24" s="52"/>
    </row>
    <row r="25" spans="1:9" ht="12" customHeight="1" x14ac:dyDescent="0.2">
      <c r="A25" s="1"/>
      <c r="B25" s="28"/>
      <c r="C25" s="35"/>
      <c r="D25" s="52"/>
      <c r="E25" s="61"/>
      <c r="F25" s="29"/>
      <c r="G25" s="35"/>
      <c r="H25" s="52"/>
    </row>
    <row r="26" spans="1:9" ht="14.1" customHeight="1" x14ac:dyDescent="0.2">
      <c r="A26" s="1"/>
      <c r="B26" s="28"/>
      <c r="C26" s="35"/>
      <c r="D26" s="52"/>
      <c r="E26" s="61"/>
      <c r="F26" s="30" t="s">
        <v>41</v>
      </c>
      <c r="G26" s="46" t="str">
        <f ca="1">IF(OR(SUM(G24)&gt;0,C24),+G24-C24,"")</f>
        <v/>
      </c>
      <c r="H26" s="52"/>
    </row>
    <row r="27" spans="1:9" ht="14.1" customHeight="1" x14ac:dyDescent="0.2">
      <c r="A27" s="1"/>
      <c r="B27" s="28"/>
      <c r="C27" s="35"/>
      <c r="D27" s="52"/>
      <c r="E27" s="61"/>
      <c r="F27" s="31" t="s">
        <v>43</v>
      </c>
      <c r="G27" s="35"/>
      <c r="H27" s="52"/>
    </row>
    <row r="28" spans="1:9" ht="8.1" customHeight="1" x14ac:dyDescent="0.2">
      <c r="A28" s="1"/>
      <c r="B28" s="68"/>
      <c r="C28" s="69"/>
      <c r="D28" s="70"/>
      <c r="E28" s="61"/>
      <c r="F28" s="71"/>
      <c r="G28" s="69"/>
      <c r="H28" s="70"/>
    </row>
    <row r="29" spans="1:9" ht="13.5" customHeight="1" x14ac:dyDescent="0.2">
      <c r="A29" s="1"/>
      <c r="B29" s="16"/>
      <c r="C29" s="4"/>
      <c r="D29" s="4"/>
      <c r="E29" s="4"/>
      <c r="F29" s="17"/>
      <c r="G29" s="4"/>
      <c r="H29" s="4"/>
    </row>
    <row r="30" spans="1:9" s="9" customFormat="1" ht="16.5" customHeight="1" x14ac:dyDescent="0.2">
      <c r="A30" s="7"/>
      <c r="B30" s="24" t="s">
        <v>40</v>
      </c>
      <c r="C30" s="11"/>
      <c r="D30" s="11"/>
      <c r="E30" s="11"/>
      <c r="F30" s="11"/>
      <c r="G30" s="13"/>
      <c r="H30" s="15"/>
      <c r="I30" s="7"/>
    </row>
    <row r="31" spans="1:9" ht="12" customHeight="1" x14ac:dyDescent="0.2">
      <c r="A31" s="1"/>
      <c r="B31" s="50"/>
      <c r="C31" s="51"/>
      <c r="D31" s="51"/>
      <c r="E31" s="51"/>
      <c r="F31" s="51"/>
      <c r="G31" s="35"/>
      <c r="H31" s="52"/>
      <c r="I31" s="4"/>
    </row>
    <row r="32" spans="1:9" ht="14.1" customHeight="1" x14ac:dyDescent="0.2">
      <c r="A32" s="1"/>
      <c r="B32" s="53"/>
      <c r="C32" s="27" t="s">
        <v>30</v>
      </c>
      <c r="D32" s="21"/>
      <c r="E32" s="21"/>
      <c r="F32" s="54"/>
      <c r="G32" s="35"/>
      <c r="H32" s="55"/>
      <c r="I32" s="4"/>
    </row>
    <row r="33" spans="1:9" ht="14.1" customHeight="1" x14ac:dyDescent="0.2">
      <c r="A33" s="1"/>
      <c r="B33" s="53"/>
      <c r="C33" s="27" t="s">
        <v>31</v>
      </c>
      <c r="D33" s="21"/>
      <c r="E33" s="21"/>
      <c r="F33" s="56"/>
      <c r="G33" s="35"/>
      <c r="H33" s="55"/>
      <c r="I33" s="4"/>
    </row>
    <row r="34" spans="1:9" ht="14.1" customHeight="1" x14ac:dyDescent="0.2">
      <c r="A34" s="1"/>
      <c r="B34" s="53"/>
      <c r="C34" s="27" t="s">
        <v>32</v>
      </c>
      <c r="D34" s="21"/>
      <c r="E34" s="21"/>
      <c r="F34" s="38"/>
      <c r="G34" s="35"/>
      <c r="H34" s="55"/>
      <c r="I34" s="4"/>
    </row>
    <row r="35" spans="1:9" ht="14.1" customHeight="1" x14ac:dyDescent="0.2">
      <c r="A35" s="1"/>
      <c r="B35" s="57"/>
      <c r="C35" s="58"/>
      <c r="D35" s="58"/>
      <c r="E35" s="58"/>
      <c r="F35" s="58"/>
      <c r="G35" s="59"/>
      <c r="H35" s="60"/>
      <c r="I35" s="4"/>
    </row>
    <row r="36" spans="1:9" ht="14.1" customHeight="1" x14ac:dyDescent="0.2">
      <c r="A36" s="4"/>
      <c r="B36" s="19"/>
      <c r="C36" s="10"/>
      <c r="D36" s="20"/>
      <c r="E36" s="4"/>
      <c r="F36" s="16"/>
      <c r="G36" s="18"/>
      <c r="H36" s="18"/>
      <c r="I36" s="4"/>
    </row>
    <row r="37" spans="1:9" ht="16.5" customHeight="1" x14ac:dyDescent="0.2">
      <c r="A37" s="1"/>
      <c r="B37" s="24" t="s">
        <v>40</v>
      </c>
      <c r="C37" s="23" t="s">
        <v>38</v>
      </c>
      <c r="D37" s="25"/>
      <c r="E37" s="22"/>
      <c r="F37" s="24" t="s">
        <v>40</v>
      </c>
      <c r="G37" s="23" t="s">
        <v>39</v>
      </c>
      <c r="H37" s="26"/>
    </row>
    <row r="38" spans="1:9" ht="12" customHeight="1" x14ac:dyDescent="0.2">
      <c r="A38" s="1"/>
      <c r="B38" s="72"/>
      <c r="C38" s="35"/>
      <c r="D38" s="52"/>
      <c r="E38" s="61"/>
      <c r="F38" s="73"/>
      <c r="G38" s="35"/>
      <c r="H38" s="52"/>
    </row>
    <row r="39" spans="1:9" ht="14.1" customHeight="1" x14ac:dyDescent="0.2">
      <c r="A39" s="1"/>
      <c r="B39" s="28" t="s">
        <v>0</v>
      </c>
      <c r="C39" s="74"/>
      <c r="D39" s="62"/>
      <c r="E39" s="61"/>
      <c r="F39" s="28" t="s">
        <v>0</v>
      </c>
      <c r="G39" s="75" t="str">
        <f>IF(C39,C39,"")</f>
        <v/>
      </c>
      <c r="H39" s="52"/>
    </row>
    <row r="40" spans="1:9" ht="14.1" customHeight="1" x14ac:dyDescent="0.2">
      <c r="A40" s="1"/>
      <c r="B40" s="28" t="s">
        <v>1</v>
      </c>
      <c r="C40" s="33"/>
      <c r="D40" s="63"/>
      <c r="E40" s="61"/>
      <c r="F40" s="28" t="s">
        <v>1</v>
      </c>
      <c r="G40" s="37" t="str">
        <f>IF(C40,C40,"")</f>
        <v/>
      </c>
      <c r="H40" s="52"/>
    </row>
    <row r="41" spans="1:9" ht="14.1" customHeight="1" x14ac:dyDescent="0.2">
      <c r="A41" s="1"/>
      <c r="B41" s="28" t="s">
        <v>33</v>
      </c>
      <c r="C41" s="37" t="str">
        <f>IF(OR(F34&gt;0,C6),+F34*C6,"")</f>
        <v/>
      </c>
      <c r="D41" s="65"/>
      <c r="E41" s="61"/>
      <c r="F41" s="28" t="s">
        <v>33</v>
      </c>
      <c r="G41" s="37" t="str">
        <f>IF(SUM(C41),C41,"")</f>
        <v/>
      </c>
      <c r="H41" s="52"/>
    </row>
    <row r="42" spans="1:9" ht="14.1" customHeight="1" x14ac:dyDescent="0.2">
      <c r="A42" s="1"/>
      <c r="B42" s="28" t="s">
        <v>34</v>
      </c>
      <c r="C42" s="37" t="str">
        <f>IF(OR(C15&gt;0,C16),+C15*C16,"")</f>
        <v/>
      </c>
      <c r="D42" s="65"/>
      <c r="E42" s="61"/>
      <c r="F42" s="28" t="s">
        <v>37</v>
      </c>
      <c r="G42" s="37" t="str">
        <f>IF(OR(OR(OR(SUM(G15)&gt;0,G16),G6),G10),(G15*G16)-(G6-G10),"")</f>
        <v/>
      </c>
      <c r="H42" s="52"/>
    </row>
    <row r="43" spans="1:9" ht="14.1" customHeight="1" x14ac:dyDescent="0.2">
      <c r="A43" s="1"/>
      <c r="B43" s="28" t="s">
        <v>35</v>
      </c>
      <c r="C43" s="37" t="str">
        <f>IF(SUM(C39:C42),SUM(C39:C42),"")</f>
        <v/>
      </c>
      <c r="D43" s="65"/>
      <c r="E43" s="61"/>
      <c r="F43" s="28" t="s">
        <v>35</v>
      </c>
      <c r="G43" s="37" t="str">
        <f>IF(SUM(G39:G42),SUM(G39:G42),"")</f>
        <v/>
      </c>
      <c r="H43" s="52"/>
    </row>
    <row r="44" spans="1:9" ht="14.1" customHeight="1" x14ac:dyDescent="0.2">
      <c r="A44" s="1"/>
      <c r="B44" s="28" t="s">
        <v>36</v>
      </c>
      <c r="C44" s="76" t="str">
        <f>IF(OR(OR(F32&gt;0,F33),C43),(1-F32)*F33*C43,"")</f>
        <v/>
      </c>
      <c r="D44" s="77"/>
      <c r="E44" s="61"/>
      <c r="F44" s="28" t="s">
        <v>36</v>
      </c>
      <c r="G44" s="76" t="str">
        <f>IF(OR(OR(F32&gt;0,F33),G43),(1-F32)*F33*G43,"")</f>
        <v/>
      </c>
      <c r="H44" s="52"/>
    </row>
    <row r="45" spans="1:9" ht="8.1" customHeight="1" x14ac:dyDescent="0.2">
      <c r="A45" s="1"/>
      <c r="B45" s="78"/>
      <c r="C45" s="69"/>
      <c r="D45" s="70"/>
      <c r="E45" s="61"/>
      <c r="F45" s="68"/>
      <c r="G45" s="69"/>
      <c r="H45" s="70"/>
    </row>
    <row r="46" spans="1:9" ht="6.75" customHeight="1" x14ac:dyDescent="0.2">
      <c r="A46" s="1"/>
      <c r="B46" s="61"/>
      <c r="C46" s="61"/>
      <c r="D46" s="61"/>
      <c r="E46" s="61"/>
      <c r="F46" s="61"/>
      <c r="G46" s="61"/>
      <c r="H46" s="1"/>
    </row>
    <row r="47" spans="1:9" ht="14.1" customHeight="1" x14ac:dyDescent="0.2">
      <c r="A47" s="1"/>
      <c r="B47" s="79" t="s">
        <v>2</v>
      </c>
      <c r="C47" s="61"/>
      <c r="D47" s="61"/>
      <c r="E47" s="61"/>
      <c r="F47" s="61"/>
      <c r="G47" s="61"/>
      <c r="H47" s="1"/>
    </row>
    <row r="48" spans="1:9" x14ac:dyDescent="0.2">
      <c r="A48" s="1"/>
      <c r="B48" s="1"/>
      <c r="C48" s="1"/>
      <c r="D48" s="1"/>
      <c r="E48" s="1"/>
      <c r="G48" s="1"/>
      <c r="H48" s="1"/>
    </row>
  </sheetData>
  <mergeCells count="1">
    <mergeCell ref="G2:H2"/>
  </mergeCells>
  <dataValidations count="1">
    <dataValidation type="list" allowBlank="1" showInputMessage="1" showErrorMessage="1" sqref="C12" xr:uid="{77DC9790-3E2D-4580-9010-4F5C37599F36}">
      <formula1>$V$2:$V$3</formula1>
    </dataValidation>
  </dataValidations>
  <printOptions horizontalCentered="1"/>
  <pageMargins left="0.65" right="0.65" top="0.65" bottom="0.65" header="0.5" footer="0.5"/>
  <pageSetup scale="93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94DE-8528-4C50-AD1B-9EA27E7B9DF5}">
  <sheetPr>
    <pageSetUpPr fitToPage="1"/>
  </sheetPr>
  <dimension ref="A1:H24"/>
  <sheetViews>
    <sheetView workbookViewId="0">
      <selection activeCell="H14" sqref="H14"/>
    </sheetView>
  </sheetViews>
  <sheetFormatPr defaultColWidth="9.109375" defaultRowHeight="14.4" x14ac:dyDescent="0.3"/>
  <cols>
    <col min="1" max="1" width="29" style="81" bestFit="1" customWidth="1"/>
    <col min="2" max="2" width="10.109375" style="82" bestFit="1" customWidth="1"/>
    <col min="3" max="3" width="14" style="81" bestFit="1" customWidth="1"/>
    <col min="4" max="4" width="9.109375" style="81" bestFit="1" customWidth="1"/>
    <col min="5" max="5" width="9.5546875" style="81" bestFit="1" customWidth="1"/>
    <col min="6" max="6" width="18.33203125" style="81" customWidth="1"/>
    <col min="7" max="7" width="14.88671875" style="81" customWidth="1"/>
    <col min="8" max="8" width="12.33203125" style="81" bestFit="1" customWidth="1"/>
    <col min="9" max="16384" width="9.109375" style="81"/>
  </cols>
  <sheetData>
    <row r="1" spans="1:8" x14ac:dyDescent="0.3">
      <c r="A1" s="90" t="s">
        <v>72</v>
      </c>
      <c r="H1" s="83"/>
    </row>
    <row r="2" spans="1:8" x14ac:dyDescent="0.3">
      <c r="A2" s="90"/>
      <c r="H2" s="83"/>
    </row>
    <row r="3" spans="1:8" x14ac:dyDescent="0.3">
      <c r="A3" s="88" t="s">
        <v>45</v>
      </c>
    </row>
    <row r="4" spans="1:8" ht="28.8" x14ac:dyDescent="0.3">
      <c r="A4" s="89" t="s">
        <v>71</v>
      </c>
      <c r="B4" s="82">
        <f>'Buy vs lease'!C6-'Buy vs lease'!C14-'Buy vs lease'!C10</f>
        <v>0</v>
      </c>
      <c r="C4" s="81" t="s">
        <v>65</v>
      </c>
    </row>
    <row r="5" spans="1:8" x14ac:dyDescent="0.3">
      <c r="A5" s="81" t="s">
        <v>46</v>
      </c>
      <c r="B5" s="82">
        <f>'Buy vs lease'!C7+'Buy vs lease'!C10</f>
        <v>0</v>
      </c>
    </row>
    <row r="6" spans="1:8" x14ac:dyDescent="0.3">
      <c r="A6" s="81" t="s">
        <v>47</v>
      </c>
      <c r="B6" s="82">
        <f>'Buy vs lease'!C15*12</f>
        <v>0</v>
      </c>
      <c r="C6" s="81" t="s">
        <v>48</v>
      </c>
    </row>
    <row r="7" spans="1:8" x14ac:dyDescent="0.3">
      <c r="A7" s="81" t="s">
        <v>17</v>
      </c>
      <c r="B7" s="82">
        <v>0</v>
      </c>
      <c r="C7" s="81" t="s">
        <v>49</v>
      </c>
    </row>
    <row r="9" spans="1:8" x14ac:dyDescent="0.3">
      <c r="A9" s="81" t="s">
        <v>50</v>
      </c>
      <c r="B9" s="82">
        <f>B4+B5</f>
        <v>0</v>
      </c>
      <c r="C9" s="81" t="s">
        <v>63</v>
      </c>
    </row>
    <row r="10" spans="1:8" x14ac:dyDescent="0.3">
      <c r="A10" s="81" t="s">
        <v>51</v>
      </c>
      <c r="B10" s="82">
        <f>-B6+-B5</f>
        <v>0</v>
      </c>
      <c r="C10" s="81" t="s">
        <v>64</v>
      </c>
    </row>
    <row r="11" spans="1:8" x14ac:dyDescent="0.3">
      <c r="A11" s="81" t="s">
        <v>52</v>
      </c>
      <c r="B11" s="82">
        <f>-B6</f>
        <v>0</v>
      </c>
    </row>
    <row r="12" spans="1:8" x14ac:dyDescent="0.3">
      <c r="A12" s="81" t="s">
        <v>53</v>
      </c>
      <c r="B12" s="82">
        <f>-B6</f>
        <v>0</v>
      </c>
    </row>
    <row r="13" spans="1:8" x14ac:dyDescent="0.3">
      <c r="A13" s="81" t="s">
        <v>54</v>
      </c>
      <c r="B13" s="82">
        <v>0</v>
      </c>
    </row>
    <row r="14" spans="1:8" x14ac:dyDescent="0.3">
      <c r="A14" s="81" t="s">
        <v>66</v>
      </c>
      <c r="B14" s="82">
        <v>0</v>
      </c>
    </row>
    <row r="16" spans="1:8" x14ac:dyDescent="0.3">
      <c r="A16" s="81" t="s">
        <v>55</v>
      </c>
      <c r="B16" s="84">
        <f>IFERROR(IRR(B9:B14),0)</f>
        <v>0</v>
      </c>
      <c r="C16" s="81" t="s">
        <v>56</v>
      </c>
      <c r="D16" s="81" t="s">
        <v>67</v>
      </c>
    </row>
    <row r="18" spans="1:5" x14ac:dyDescent="0.3">
      <c r="A18" s="81" t="s">
        <v>57</v>
      </c>
    </row>
    <row r="19" spans="1:5" ht="16.2" x14ac:dyDescent="0.45">
      <c r="A19" s="81" t="s">
        <v>58</v>
      </c>
      <c r="B19" s="85" t="s">
        <v>59</v>
      </c>
      <c r="C19" s="86" t="s">
        <v>60</v>
      </c>
      <c r="D19" s="86" t="s">
        <v>61</v>
      </c>
      <c r="E19" s="86" t="s">
        <v>62</v>
      </c>
    </row>
    <row r="20" spans="1:5" x14ac:dyDescent="0.3">
      <c r="A20" s="81">
        <v>1</v>
      </c>
      <c r="B20" s="82">
        <f>B9</f>
        <v>0</v>
      </c>
      <c r="C20" s="87">
        <f>B20*$B$16</f>
        <v>0</v>
      </c>
      <c r="D20" s="82">
        <f>-B10</f>
        <v>0</v>
      </c>
      <c r="E20" s="87">
        <f>B20+C20-D20</f>
        <v>0</v>
      </c>
    </row>
    <row r="21" spans="1:5" x14ac:dyDescent="0.3">
      <c r="A21" s="81">
        <v>2</v>
      </c>
      <c r="B21" s="82">
        <f>E20</f>
        <v>0</v>
      </c>
      <c r="C21" s="87">
        <f>B21*$B$16</f>
        <v>0</v>
      </c>
      <c r="D21" s="82">
        <f>-B11</f>
        <v>0</v>
      </c>
      <c r="E21" s="87">
        <f t="shared" ref="E21:E24" si="0">B21+C21-D21</f>
        <v>0</v>
      </c>
    </row>
    <row r="22" spans="1:5" x14ac:dyDescent="0.3">
      <c r="A22" s="81">
        <v>3</v>
      </c>
      <c r="B22" s="82">
        <f t="shared" ref="B22:B24" si="1">E21</f>
        <v>0</v>
      </c>
      <c r="C22" s="87">
        <f t="shared" ref="C22:C24" si="2">B22*$B$16</f>
        <v>0</v>
      </c>
      <c r="D22" s="82">
        <f>-B12</f>
        <v>0</v>
      </c>
      <c r="E22" s="87">
        <f t="shared" si="0"/>
        <v>0</v>
      </c>
    </row>
    <row r="23" spans="1:5" x14ac:dyDescent="0.3">
      <c r="A23" s="81">
        <v>4</v>
      </c>
      <c r="B23" s="82">
        <f t="shared" si="1"/>
        <v>0</v>
      </c>
      <c r="C23" s="87">
        <f t="shared" si="2"/>
        <v>0</v>
      </c>
      <c r="D23" s="82">
        <f>-B13</f>
        <v>0</v>
      </c>
      <c r="E23" s="87">
        <f t="shared" si="0"/>
        <v>0</v>
      </c>
    </row>
    <row r="24" spans="1:5" x14ac:dyDescent="0.3">
      <c r="A24" s="81">
        <v>5</v>
      </c>
      <c r="B24" s="82">
        <f t="shared" si="1"/>
        <v>0</v>
      </c>
      <c r="C24" s="87">
        <f t="shared" si="2"/>
        <v>0</v>
      </c>
      <c r="D24" s="82">
        <f>-B14</f>
        <v>0</v>
      </c>
      <c r="E24" s="87">
        <f t="shared" si="0"/>
        <v>0</v>
      </c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E6C7-4B3D-489E-80DD-04590CB21A97}">
  <sheetPr>
    <tabColor indexed="45"/>
    <pageSetUpPr autoPageBreaks="0"/>
  </sheetPr>
  <dimension ref="A1:V48"/>
  <sheetViews>
    <sheetView showGridLines="0" zoomScaleNormal="100" workbookViewId="0">
      <selection activeCell="C17" sqref="C17"/>
    </sheetView>
  </sheetViews>
  <sheetFormatPr defaultColWidth="9.109375" defaultRowHeight="12.6" x14ac:dyDescent="0.2"/>
  <cols>
    <col min="1" max="1" width="1" style="2" customWidth="1"/>
    <col min="2" max="2" width="32.6640625" style="2" customWidth="1"/>
    <col min="3" max="3" width="15" style="2" customWidth="1"/>
    <col min="4" max="4" width="1.5546875" style="2" customWidth="1"/>
    <col min="5" max="5" width="2.44140625" style="2" customWidth="1"/>
    <col min="6" max="6" width="27.6640625" style="2" customWidth="1"/>
    <col min="7" max="7" width="14.88671875" style="2" customWidth="1"/>
    <col min="8" max="8" width="1.5546875" style="2" customWidth="1"/>
    <col min="9" max="16384" width="9.109375" style="2"/>
  </cols>
  <sheetData>
    <row r="1" spans="1:22" ht="20.25" customHeight="1" x14ac:dyDescent="0.2">
      <c r="A1" s="1"/>
      <c r="B1" s="1"/>
      <c r="C1" s="1"/>
      <c r="D1" s="1"/>
      <c r="E1" s="1"/>
      <c r="F1" s="1"/>
      <c r="G1" s="1" t="s">
        <v>68</v>
      </c>
      <c r="H1" s="1"/>
    </row>
    <row r="2" spans="1:22" ht="29.25" customHeight="1" x14ac:dyDescent="0.3">
      <c r="A2" s="1"/>
      <c r="B2" s="80" t="s">
        <v>73</v>
      </c>
      <c r="C2" s="47"/>
      <c r="D2" s="48"/>
      <c r="E2" s="47"/>
      <c r="F2" s="49" t="s">
        <v>42</v>
      </c>
      <c r="G2" s="91" t="s">
        <v>69</v>
      </c>
      <c r="H2" s="91"/>
      <c r="V2" s="2" t="s">
        <v>70</v>
      </c>
    </row>
    <row r="3" spans="1:22" ht="17.25" customHeight="1" x14ac:dyDescent="0.3">
      <c r="A3" s="1"/>
      <c r="C3" s="3"/>
      <c r="D3" s="3"/>
      <c r="E3" s="6"/>
      <c r="F3" s="5"/>
      <c r="G3" s="1"/>
      <c r="H3" s="4"/>
      <c r="V3" s="2" t="s">
        <v>44</v>
      </c>
    </row>
    <row r="4" spans="1:22" s="9" customFormat="1" ht="16.5" customHeight="1" x14ac:dyDescent="0.2">
      <c r="A4" s="7"/>
      <c r="B4" s="12"/>
      <c r="C4" s="23" t="s">
        <v>38</v>
      </c>
      <c r="D4" s="14"/>
      <c r="E4" s="8"/>
      <c r="F4" s="12"/>
      <c r="G4" s="23" t="s">
        <v>39</v>
      </c>
      <c r="H4" s="15"/>
    </row>
    <row r="5" spans="1:22" ht="12" customHeight="1" x14ac:dyDescent="0.2">
      <c r="A5" s="1"/>
      <c r="B5" s="53"/>
      <c r="C5" s="35"/>
      <c r="D5" s="52"/>
      <c r="E5" s="61"/>
      <c r="F5" s="53"/>
      <c r="G5" s="35"/>
      <c r="H5" s="52"/>
    </row>
    <row r="6" spans="1:22" ht="14.1" customHeight="1" x14ac:dyDescent="0.2">
      <c r="A6" s="1"/>
      <c r="B6" s="28" t="s">
        <v>8</v>
      </c>
      <c r="C6" s="32">
        <v>27659</v>
      </c>
      <c r="D6" s="62"/>
      <c r="E6" s="61"/>
      <c r="F6" s="28" t="s">
        <v>8</v>
      </c>
      <c r="G6" s="42">
        <v>27659</v>
      </c>
      <c r="H6" s="52"/>
    </row>
    <row r="7" spans="1:22" ht="14.1" customHeight="1" x14ac:dyDescent="0.2">
      <c r="A7" s="1"/>
      <c r="B7" s="28" t="s">
        <v>9</v>
      </c>
      <c r="C7" s="33">
        <f>30+650+199</f>
        <v>879</v>
      </c>
      <c r="D7" s="63"/>
      <c r="E7" s="61"/>
      <c r="F7" s="28" t="s">
        <v>9</v>
      </c>
      <c r="G7" s="43">
        <f>C7</f>
        <v>879</v>
      </c>
      <c r="H7" s="52"/>
    </row>
    <row r="8" spans="1:22" ht="14.1" customHeight="1" x14ac:dyDescent="0.2">
      <c r="A8" s="1"/>
      <c r="B8" s="28" t="s">
        <v>10</v>
      </c>
      <c r="C8" s="33">
        <v>0</v>
      </c>
      <c r="D8" s="63"/>
      <c r="E8" s="61"/>
      <c r="F8" s="28"/>
      <c r="G8" s="44"/>
      <c r="H8" s="52"/>
    </row>
    <row r="9" spans="1:22" ht="14.1" customHeight="1" x14ac:dyDescent="0.2">
      <c r="A9" s="1"/>
      <c r="B9" s="28" t="s">
        <v>11</v>
      </c>
      <c r="C9" s="33">
        <v>281.99</v>
      </c>
      <c r="D9" s="63"/>
      <c r="E9" s="61"/>
      <c r="F9" s="28"/>
      <c r="G9" s="44"/>
      <c r="H9" s="52"/>
    </row>
    <row r="10" spans="1:22" ht="14.1" customHeight="1" x14ac:dyDescent="0.2">
      <c r="A10" s="1"/>
      <c r="B10" s="28" t="s">
        <v>12</v>
      </c>
      <c r="C10" s="34">
        <v>1900</v>
      </c>
      <c r="D10" s="63"/>
      <c r="E10" s="61"/>
      <c r="F10" s="28" t="s">
        <v>24</v>
      </c>
      <c r="G10" s="45">
        <f>C10</f>
        <v>1900</v>
      </c>
      <c r="H10" s="52"/>
    </row>
    <row r="11" spans="1:22" ht="12" customHeight="1" x14ac:dyDescent="0.2">
      <c r="A11" s="1"/>
      <c r="B11" s="28"/>
      <c r="C11" s="35"/>
      <c r="D11" s="52"/>
      <c r="E11" s="61"/>
      <c r="F11" s="28"/>
      <c r="G11" s="44"/>
      <c r="H11" s="52"/>
    </row>
    <row r="12" spans="1:22" ht="14.1" customHeight="1" x14ac:dyDescent="0.2">
      <c r="A12" s="1"/>
      <c r="B12" s="28" t="s">
        <v>13</v>
      </c>
      <c r="C12" s="36" t="s">
        <v>44</v>
      </c>
      <c r="D12" s="64"/>
      <c r="E12" s="61"/>
      <c r="F12" s="28"/>
      <c r="G12" s="44"/>
      <c r="H12" s="52"/>
    </row>
    <row r="13" spans="1:22" ht="14.1" customHeight="1" x14ac:dyDescent="0.2">
      <c r="A13" s="1"/>
      <c r="B13" s="28" t="s">
        <v>14</v>
      </c>
      <c r="C13" s="37">
        <f ca="1">IF(CELL("type",C12)="b","",IF(LEFT(C12,1)="y",C9,0))</f>
        <v>0</v>
      </c>
      <c r="D13" s="65"/>
      <c r="E13" s="61"/>
      <c r="F13" s="28"/>
      <c r="G13" s="44"/>
      <c r="H13" s="52"/>
    </row>
    <row r="14" spans="1:22" ht="14.1" customHeight="1" x14ac:dyDescent="0.2">
      <c r="A14" s="1"/>
      <c r="B14" s="28" t="s">
        <v>15</v>
      </c>
      <c r="C14" s="33">
        <v>17293.8</v>
      </c>
      <c r="D14" s="63"/>
      <c r="E14" s="61"/>
      <c r="F14" s="28" t="s">
        <v>25</v>
      </c>
      <c r="G14" s="40">
        <f>IF(C14,C14,"")</f>
        <v>17293.8</v>
      </c>
      <c r="H14" s="52"/>
    </row>
    <row r="15" spans="1:22" ht="14.1" customHeight="1" x14ac:dyDescent="0.2">
      <c r="A15" s="1"/>
      <c r="B15" s="28" t="s">
        <v>16</v>
      </c>
      <c r="C15" s="33">
        <v>281.99</v>
      </c>
      <c r="D15" s="63"/>
      <c r="E15" s="61"/>
      <c r="F15" s="28" t="s">
        <v>26</v>
      </c>
      <c r="G15" s="37">
        <f>IF(AND(OR(SUM(G6)&gt;0,SUM(G17)),SUM(G16)),PMT(G17/12,G16,-(G6-G10)),"")</f>
        <v>740.61884014201939</v>
      </c>
      <c r="H15" s="52"/>
    </row>
    <row r="16" spans="1:22" ht="14.1" customHeight="1" x14ac:dyDescent="0.2">
      <c r="A16" s="1"/>
      <c r="B16" s="28" t="s">
        <v>17</v>
      </c>
      <c r="C16" s="33">
        <v>36</v>
      </c>
      <c r="D16" s="63"/>
      <c r="E16" s="61"/>
      <c r="F16" s="28" t="s">
        <v>27</v>
      </c>
      <c r="G16" s="37">
        <f>IF(C16,C16,"")</f>
        <v>36</v>
      </c>
      <c r="H16" s="52"/>
    </row>
    <row r="17" spans="1:9" ht="14.1" customHeight="1" x14ac:dyDescent="0.2">
      <c r="A17" s="1"/>
      <c r="B17" s="28" t="s">
        <v>18</v>
      </c>
      <c r="C17" s="38">
        <f>'ex calc for implicit rate'!B16</f>
        <v>8.2744885866444351E-2</v>
      </c>
      <c r="D17" s="55"/>
      <c r="E17" s="61"/>
      <c r="F17" s="28" t="s">
        <v>28</v>
      </c>
      <c r="G17" s="38">
        <v>2.2499999999999999E-2</v>
      </c>
      <c r="H17" s="52"/>
    </row>
    <row r="18" spans="1:9" ht="12" customHeight="1" x14ac:dyDescent="0.2">
      <c r="A18" s="1"/>
      <c r="B18" s="28"/>
      <c r="C18" s="35"/>
      <c r="D18" s="52"/>
      <c r="E18" s="61"/>
      <c r="F18" s="28"/>
      <c r="G18" s="35"/>
      <c r="H18" s="52"/>
    </row>
    <row r="19" spans="1:9" ht="14.1" customHeight="1" x14ac:dyDescent="0.2">
      <c r="A19" s="1"/>
      <c r="B19" s="28" t="s">
        <v>19</v>
      </c>
      <c r="C19" s="39">
        <f ca="1">IF(OR(OR(C17&gt;0,C16),C13),(1+C17/12)^C16*C13,"")</f>
        <v>0</v>
      </c>
      <c r="D19" s="65"/>
      <c r="E19" s="61"/>
      <c r="F19" s="28" t="s">
        <v>29</v>
      </c>
      <c r="G19" s="39">
        <f>IF(OR(OR(C17&gt;0,C16),C14),((1+C17/12)^-C16)*C14,"")</f>
        <v>13503.721629040692</v>
      </c>
      <c r="H19" s="52"/>
    </row>
    <row r="20" spans="1:9" ht="12" customHeight="1" x14ac:dyDescent="0.2">
      <c r="A20" s="1"/>
      <c r="B20" s="28"/>
      <c r="C20" s="35"/>
      <c r="D20" s="52"/>
      <c r="E20" s="61"/>
      <c r="F20" s="28"/>
      <c r="G20" s="35"/>
      <c r="H20" s="52"/>
    </row>
    <row r="21" spans="1:9" ht="14.1" customHeight="1" x14ac:dyDescent="0.2">
      <c r="A21" s="1"/>
      <c r="B21" s="28" t="s">
        <v>20</v>
      </c>
      <c r="C21" s="40">
        <f ca="1">IF(SUM(C7:C10,C13),SUM(C7:C10,C13),"")</f>
        <v>3060.99</v>
      </c>
      <c r="D21" s="65"/>
      <c r="E21" s="61"/>
      <c r="F21" s="28" t="s">
        <v>20</v>
      </c>
      <c r="G21" s="40">
        <f>IF(OR(SUM(G7)&gt;0,G10),+G7+G10,"")</f>
        <v>2779</v>
      </c>
      <c r="H21" s="52"/>
    </row>
    <row r="22" spans="1:9" ht="14.1" customHeight="1" x14ac:dyDescent="0.2">
      <c r="A22" s="1"/>
      <c r="B22" s="28" t="s">
        <v>21</v>
      </c>
      <c r="C22" s="37">
        <f ca="1">IF(AND(C15&gt;0,C17),PV(C17/12,C16-IF(C13,1,0),-C15),"")</f>
        <v>8962.5491551152263</v>
      </c>
      <c r="D22" s="65"/>
      <c r="E22" s="61"/>
      <c r="F22" s="28" t="s">
        <v>21</v>
      </c>
      <c r="G22" s="43">
        <f>IF(OR(OR(SUM(G15)&gt;0,C17),G16),PV(C17/12,G16,-G15),"")</f>
        <v>23539.248767606205</v>
      </c>
      <c r="H22" s="52"/>
    </row>
    <row r="23" spans="1:9" ht="14.1" customHeight="1" x14ac:dyDescent="0.2">
      <c r="A23" s="1"/>
      <c r="B23" s="28" t="s">
        <v>22</v>
      </c>
      <c r="C23" s="37">
        <f>IF(OR(OR(C17&gt;0,C16),C8),((1+C17/12)^-C16)*-C8,"")</f>
        <v>0</v>
      </c>
      <c r="D23" s="65"/>
      <c r="E23" s="61"/>
      <c r="F23" s="28"/>
      <c r="G23" s="44"/>
      <c r="H23" s="52"/>
    </row>
    <row r="24" spans="1:9" ht="14.1" customHeight="1" x14ac:dyDescent="0.2">
      <c r="A24" s="1"/>
      <c r="B24" s="28" t="s">
        <v>23</v>
      </c>
      <c r="C24" s="41">
        <f ca="1">IF(SUM(C21:C23),SUM(C21:C23),"")</f>
        <v>12023.539155115226</v>
      </c>
      <c r="D24" s="66"/>
      <c r="E24" s="67"/>
      <c r="F24" s="28" t="s">
        <v>23</v>
      </c>
      <c r="G24" s="46">
        <f>IF(OR(OR(SUM(G21)&gt;0,SUM(G22)),SUM(G19)),SUM(G21)+SUM(G22)-SUM(G19),"")</f>
        <v>12814.527138565512</v>
      </c>
      <c r="H24" s="52"/>
    </row>
    <row r="25" spans="1:9" ht="12" customHeight="1" x14ac:dyDescent="0.2">
      <c r="A25" s="1"/>
      <c r="B25" s="28"/>
      <c r="C25" s="35"/>
      <c r="D25" s="52"/>
      <c r="E25" s="61"/>
      <c r="F25" s="29"/>
      <c r="G25" s="35"/>
      <c r="H25" s="52"/>
    </row>
    <row r="26" spans="1:9" ht="14.1" customHeight="1" x14ac:dyDescent="0.2">
      <c r="A26" s="1"/>
      <c r="B26" s="28"/>
      <c r="C26" s="35"/>
      <c r="D26" s="52"/>
      <c r="E26" s="61"/>
      <c r="F26" s="30" t="s">
        <v>41</v>
      </c>
      <c r="G26" s="46">
        <f ca="1">IF(OR(SUM(G24)&gt;0,C24),+G24-C24,"")</f>
        <v>790.98798345028626</v>
      </c>
      <c r="H26" s="52"/>
    </row>
    <row r="27" spans="1:9" ht="14.1" customHeight="1" x14ac:dyDescent="0.2">
      <c r="A27" s="1"/>
      <c r="B27" s="28"/>
      <c r="C27" s="35"/>
      <c r="D27" s="52"/>
      <c r="E27" s="61"/>
      <c r="F27" s="31" t="s">
        <v>43</v>
      </c>
      <c r="G27" s="35"/>
      <c r="H27" s="52"/>
    </row>
    <row r="28" spans="1:9" ht="8.1" customHeight="1" x14ac:dyDescent="0.2">
      <c r="A28" s="1"/>
      <c r="B28" s="68"/>
      <c r="C28" s="69"/>
      <c r="D28" s="70"/>
      <c r="E28" s="61"/>
      <c r="F28" s="71"/>
      <c r="G28" s="69"/>
      <c r="H28" s="70"/>
    </row>
    <row r="29" spans="1:9" ht="13.5" customHeight="1" x14ac:dyDescent="0.2">
      <c r="A29" s="1"/>
      <c r="B29" s="16"/>
      <c r="C29" s="4"/>
      <c r="D29" s="4"/>
      <c r="E29" s="4"/>
      <c r="F29" s="17"/>
      <c r="G29" s="4"/>
      <c r="H29" s="4"/>
    </row>
    <row r="30" spans="1:9" s="9" customFormat="1" ht="16.5" customHeight="1" x14ac:dyDescent="0.2">
      <c r="A30" s="7"/>
      <c r="B30" s="24" t="s">
        <v>40</v>
      </c>
      <c r="C30" s="11"/>
      <c r="D30" s="11"/>
      <c r="E30" s="11"/>
      <c r="F30" s="11"/>
      <c r="G30" s="13"/>
      <c r="H30" s="15"/>
      <c r="I30" s="7"/>
    </row>
    <row r="31" spans="1:9" ht="12" customHeight="1" x14ac:dyDescent="0.2">
      <c r="A31" s="1"/>
      <c r="B31" s="50"/>
      <c r="C31" s="51"/>
      <c r="D31" s="51"/>
      <c r="E31" s="51"/>
      <c r="F31" s="51"/>
      <c r="G31" s="35"/>
      <c r="H31" s="52"/>
      <c r="I31" s="4"/>
    </row>
    <row r="32" spans="1:9" ht="14.1" customHeight="1" x14ac:dyDescent="0.2">
      <c r="A32" s="1"/>
      <c r="B32" s="53"/>
      <c r="C32" s="27" t="s">
        <v>30</v>
      </c>
      <c r="D32" s="21"/>
      <c r="E32" s="21"/>
      <c r="F32" s="54"/>
      <c r="G32" s="35"/>
      <c r="H32" s="55"/>
      <c r="I32" s="4"/>
    </row>
    <row r="33" spans="1:9" ht="14.1" customHeight="1" x14ac:dyDescent="0.2">
      <c r="A33" s="1"/>
      <c r="B33" s="53"/>
      <c r="C33" s="27" t="s">
        <v>31</v>
      </c>
      <c r="D33" s="21"/>
      <c r="E33" s="21"/>
      <c r="F33" s="56"/>
      <c r="G33" s="35"/>
      <c r="H33" s="55"/>
      <c r="I33" s="4"/>
    </row>
    <row r="34" spans="1:9" ht="14.1" customHeight="1" x14ac:dyDescent="0.2">
      <c r="A34" s="1"/>
      <c r="B34" s="53"/>
      <c r="C34" s="27" t="s">
        <v>32</v>
      </c>
      <c r="D34" s="21"/>
      <c r="E34" s="21"/>
      <c r="F34" s="38"/>
      <c r="G34" s="35"/>
      <c r="H34" s="55"/>
      <c r="I34" s="4"/>
    </row>
    <row r="35" spans="1:9" ht="14.1" customHeight="1" x14ac:dyDescent="0.2">
      <c r="A35" s="1"/>
      <c r="B35" s="57"/>
      <c r="C35" s="58"/>
      <c r="D35" s="58"/>
      <c r="E35" s="58"/>
      <c r="F35" s="58"/>
      <c r="G35" s="59"/>
      <c r="H35" s="60"/>
      <c r="I35" s="4"/>
    </row>
    <row r="36" spans="1:9" ht="14.1" customHeight="1" x14ac:dyDescent="0.2">
      <c r="A36" s="4"/>
      <c r="B36" s="19"/>
      <c r="C36" s="10"/>
      <c r="D36" s="20"/>
      <c r="E36" s="4"/>
      <c r="F36" s="16"/>
      <c r="G36" s="18"/>
      <c r="H36" s="18"/>
      <c r="I36" s="4"/>
    </row>
    <row r="37" spans="1:9" ht="16.5" customHeight="1" x14ac:dyDescent="0.2">
      <c r="A37" s="1"/>
      <c r="B37" s="24" t="s">
        <v>40</v>
      </c>
      <c r="C37" s="23" t="s">
        <v>38</v>
      </c>
      <c r="D37" s="25"/>
      <c r="E37" s="22"/>
      <c r="F37" s="24" t="s">
        <v>40</v>
      </c>
      <c r="G37" s="23" t="s">
        <v>39</v>
      </c>
      <c r="H37" s="26"/>
    </row>
    <row r="38" spans="1:9" ht="12" customHeight="1" x14ac:dyDescent="0.2">
      <c r="A38" s="1"/>
      <c r="B38" s="72"/>
      <c r="C38" s="35"/>
      <c r="D38" s="52"/>
      <c r="E38" s="61"/>
      <c r="F38" s="73"/>
      <c r="G38" s="35"/>
      <c r="H38" s="52"/>
    </row>
    <row r="39" spans="1:9" ht="14.1" customHeight="1" x14ac:dyDescent="0.2">
      <c r="A39" s="1"/>
      <c r="B39" s="28" t="s">
        <v>0</v>
      </c>
      <c r="C39" s="74"/>
      <c r="D39" s="62"/>
      <c r="E39" s="61"/>
      <c r="F39" s="28" t="s">
        <v>0</v>
      </c>
      <c r="G39" s="75" t="str">
        <f>IF(C39,C39,"")</f>
        <v/>
      </c>
      <c r="H39" s="52"/>
    </row>
    <row r="40" spans="1:9" ht="14.1" customHeight="1" x14ac:dyDescent="0.2">
      <c r="A40" s="1"/>
      <c r="B40" s="28" t="s">
        <v>1</v>
      </c>
      <c r="C40" s="33"/>
      <c r="D40" s="63"/>
      <c r="E40" s="61"/>
      <c r="F40" s="28" t="s">
        <v>1</v>
      </c>
      <c r="G40" s="37" t="str">
        <f>IF(C40,C40,"")</f>
        <v/>
      </c>
      <c r="H40" s="52"/>
    </row>
    <row r="41" spans="1:9" ht="14.1" customHeight="1" x14ac:dyDescent="0.2">
      <c r="A41" s="1"/>
      <c r="B41" s="28" t="s">
        <v>33</v>
      </c>
      <c r="C41" s="37">
        <f>IF(OR(F34&gt;0,C6),+F34*C6,"")</f>
        <v>0</v>
      </c>
      <c r="D41" s="65"/>
      <c r="E41" s="61"/>
      <c r="F41" s="28" t="s">
        <v>33</v>
      </c>
      <c r="G41" s="37" t="str">
        <f>IF(SUM(C41),C41,"")</f>
        <v/>
      </c>
      <c r="H41" s="52"/>
    </row>
    <row r="42" spans="1:9" ht="14.1" customHeight="1" x14ac:dyDescent="0.2">
      <c r="A42" s="1"/>
      <c r="B42" s="28" t="s">
        <v>34</v>
      </c>
      <c r="C42" s="37">
        <f>IF(OR(C15&gt;0,C16),+C15*C16,"")</f>
        <v>10151.64</v>
      </c>
      <c r="D42" s="65"/>
      <c r="E42" s="61"/>
      <c r="F42" s="28" t="s">
        <v>37</v>
      </c>
      <c r="G42" s="37">
        <f>IF(OR(OR(OR(SUM(G15)&gt;0,G16),G6),G10),(G15*G16)-(G6-G10),"")</f>
        <v>903.27824511269864</v>
      </c>
      <c r="H42" s="52"/>
    </row>
    <row r="43" spans="1:9" ht="14.1" customHeight="1" x14ac:dyDescent="0.2">
      <c r="A43" s="1"/>
      <c r="B43" s="28" t="s">
        <v>35</v>
      </c>
      <c r="C43" s="37">
        <f>IF(SUM(C39:C42),SUM(C39:C42),"")</f>
        <v>10151.64</v>
      </c>
      <c r="D43" s="65"/>
      <c r="E43" s="61"/>
      <c r="F43" s="28" t="s">
        <v>35</v>
      </c>
      <c r="G43" s="37">
        <f>IF(SUM(G39:G42),SUM(G39:G42),"")</f>
        <v>903.27824511269864</v>
      </c>
      <c r="H43" s="52"/>
    </row>
    <row r="44" spans="1:9" ht="14.1" customHeight="1" x14ac:dyDescent="0.2">
      <c r="A44" s="1"/>
      <c r="B44" s="28" t="s">
        <v>36</v>
      </c>
      <c r="C44" s="76">
        <f>IF(OR(OR(F32&gt;0,F33),C43),(1-F32)*F33*C43,"")</f>
        <v>0</v>
      </c>
      <c r="D44" s="77"/>
      <c r="E44" s="61"/>
      <c r="F44" s="28" t="s">
        <v>36</v>
      </c>
      <c r="G44" s="76">
        <f>IF(OR(OR(F32&gt;0,F33),G43),(1-F32)*F33*G43,"")</f>
        <v>0</v>
      </c>
      <c r="H44" s="52"/>
    </row>
    <row r="45" spans="1:9" ht="8.1" customHeight="1" x14ac:dyDescent="0.2">
      <c r="A45" s="1"/>
      <c r="B45" s="78"/>
      <c r="C45" s="69"/>
      <c r="D45" s="70"/>
      <c r="E45" s="61"/>
      <c r="F45" s="68"/>
      <c r="G45" s="69"/>
      <c r="H45" s="70"/>
    </row>
    <row r="46" spans="1:9" ht="6.75" customHeight="1" x14ac:dyDescent="0.2">
      <c r="A46" s="1"/>
      <c r="B46" s="61"/>
      <c r="C46" s="61"/>
      <c r="D46" s="61"/>
      <c r="E46" s="61"/>
      <c r="F46" s="61"/>
      <c r="G46" s="61"/>
      <c r="H46" s="1"/>
    </row>
    <row r="47" spans="1:9" ht="14.1" customHeight="1" x14ac:dyDescent="0.2">
      <c r="A47" s="1"/>
      <c r="B47" s="79" t="s">
        <v>2</v>
      </c>
      <c r="C47" s="61"/>
      <c r="D47" s="61"/>
      <c r="E47" s="61"/>
      <c r="F47" s="61"/>
      <c r="G47" s="61"/>
      <c r="H47" s="1"/>
    </row>
    <row r="48" spans="1:9" x14ac:dyDescent="0.2">
      <c r="A48" s="1"/>
      <c r="B48" s="1"/>
      <c r="C48" s="1"/>
      <c r="D48" s="1"/>
      <c r="E48" s="1"/>
      <c r="G48" s="1"/>
      <c r="H48" s="1"/>
    </row>
  </sheetData>
  <mergeCells count="1">
    <mergeCell ref="G2:H2"/>
  </mergeCells>
  <dataValidations count="1">
    <dataValidation type="list" allowBlank="1" showInputMessage="1" showErrorMessage="1" sqref="C12" xr:uid="{00BDB2AC-608A-4FA2-9030-B57A2708224E}">
      <formula1>$V$2:$V$3</formula1>
    </dataValidation>
  </dataValidations>
  <printOptions horizontalCentered="1"/>
  <pageMargins left="0.65" right="0.65" top="0.65" bottom="0.65" header="0.5" footer="0.5"/>
  <pageSetup scale="93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ECBA-B609-496B-B6A5-3FD9D3ECC5B8}">
  <sheetPr codeName="Sheet13">
    <pageSetUpPr fitToPage="1"/>
  </sheetPr>
  <dimension ref="A1:H24"/>
  <sheetViews>
    <sheetView workbookViewId="0">
      <selection activeCell="H10" sqref="H10"/>
    </sheetView>
  </sheetViews>
  <sheetFormatPr defaultColWidth="9.109375" defaultRowHeight="14.4" x14ac:dyDescent="0.3"/>
  <cols>
    <col min="1" max="1" width="29" style="81" bestFit="1" customWidth="1"/>
    <col min="2" max="2" width="10.109375" style="82" bestFit="1" customWidth="1"/>
    <col min="3" max="3" width="14" style="81" bestFit="1" customWidth="1"/>
    <col min="4" max="4" width="9.109375" style="81" bestFit="1" customWidth="1"/>
    <col min="5" max="5" width="9.5546875" style="81" bestFit="1" customWidth="1"/>
    <col min="6" max="7" width="9.109375" style="81"/>
    <col min="8" max="8" width="12.33203125" style="81" bestFit="1" customWidth="1"/>
    <col min="9" max="16384" width="9.109375" style="81"/>
  </cols>
  <sheetData>
    <row r="1" spans="1:8" x14ac:dyDescent="0.3">
      <c r="A1" s="90" t="s">
        <v>72</v>
      </c>
      <c r="H1" s="83"/>
    </row>
    <row r="2" spans="1:8" x14ac:dyDescent="0.3">
      <c r="H2" s="83"/>
    </row>
    <row r="3" spans="1:8" x14ac:dyDescent="0.3">
      <c r="A3" s="88" t="s">
        <v>45</v>
      </c>
    </row>
    <row r="4" spans="1:8" ht="28.8" x14ac:dyDescent="0.3">
      <c r="A4" s="89" t="s">
        <v>71</v>
      </c>
      <c r="B4" s="82">
        <f>'Buy vs lease ex'!C6-'Buy vs lease ex'!C14-'Buy vs lease ex'!C10</f>
        <v>8465.2000000000007</v>
      </c>
      <c r="C4" s="81" t="s">
        <v>65</v>
      </c>
    </row>
    <row r="5" spans="1:8" x14ac:dyDescent="0.3">
      <c r="A5" s="81" t="s">
        <v>46</v>
      </c>
      <c r="B5" s="82">
        <f>'Buy vs lease ex'!C7+'Buy vs lease ex'!C10</f>
        <v>2779</v>
      </c>
    </row>
    <row r="6" spans="1:8" x14ac:dyDescent="0.3">
      <c r="A6" s="81" t="s">
        <v>47</v>
      </c>
      <c r="B6" s="82">
        <f>'Buy vs lease ex'!C15*12</f>
        <v>3383.88</v>
      </c>
      <c r="C6" s="81" t="s">
        <v>48</v>
      </c>
    </row>
    <row r="7" spans="1:8" x14ac:dyDescent="0.3">
      <c r="A7" s="81" t="s">
        <v>17</v>
      </c>
      <c r="B7" s="82">
        <v>3</v>
      </c>
      <c r="C7" s="81" t="s">
        <v>49</v>
      </c>
    </row>
    <row r="9" spans="1:8" x14ac:dyDescent="0.3">
      <c r="A9" s="81" t="s">
        <v>50</v>
      </c>
      <c r="B9" s="82">
        <f>B4+B5</f>
        <v>11244.2</v>
      </c>
      <c r="C9" s="81" t="s">
        <v>63</v>
      </c>
    </row>
    <row r="10" spans="1:8" x14ac:dyDescent="0.3">
      <c r="A10" s="81" t="s">
        <v>51</v>
      </c>
      <c r="B10" s="82">
        <f>-B6+-B5</f>
        <v>-6162.88</v>
      </c>
      <c r="C10" s="81" t="s">
        <v>64</v>
      </c>
    </row>
    <row r="11" spans="1:8" x14ac:dyDescent="0.3">
      <c r="A11" s="81" t="s">
        <v>52</v>
      </c>
      <c r="B11" s="82">
        <f>-B6</f>
        <v>-3383.88</v>
      </c>
    </row>
    <row r="12" spans="1:8" x14ac:dyDescent="0.3">
      <c r="A12" s="81" t="s">
        <v>53</v>
      </c>
      <c r="B12" s="82">
        <f>-B6</f>
        <v>-3383.88</v>
      </c>
    </row>
    <row r="13" spans="1:8" x14ac:dyDescent="0.3">
      <c r="A13" s="81" t="s">
        <v>54</v>
      </c>
      <c r="B13" s="82">
        <v>0</v>
      </c>
    </row>
    <row r="14" spans="1:8" x14ac:dyDescent="0.3">
      <c r="A14" s="81" t="s">
        <v>66</v>
      </c>
      <c r="B14" s="82">
        <v>0</v>
      </c>
    </row>
    <row r="16" spans="1:8" x14ac:dyDescent="0.3">
      <c r="A16" s="81" t="s">
        <v>55</v>
      </c>
      <c r="B16" s="84">
        <f>IFERROR(IRR(B9:B12),0)</f>
        <v>8.2744885866444351E-2</v>
      </c>
      <c r="C16" s="81" t="s">
        <v>56</v>
      </c>
      <c r="D16" s="81" t="s">
        <v>67</v>
      </c>
    </row>
    <row r="18" spans="1:5" x14ac:dyDescent="0.3">
      <c r="A18" s="81" t="s">
        <v>57</v>
      </c>
    </row>
    <row r="19" spans="1:5" ht="16.2" x14ac:dyDescent="0.45">
      <c r="A19" s="81" t="s">
        <v>58</v>
      </c>
      <c r="B19" s="85" t="s">
        <v>59</v>
      </c>
      <c r="C19" s="86" t="s">
        <v>60</v>
      </c>
      <c r="D19" s="86" t="s">
        <v>61</v>
      </c>
      <c r="E19" s="86" t="s">
        <v>62</v>
      </c>
    </row>
    <row r="20" spans="1:5" x14ac:dyDescent="0.3">
      <c r="A20" s="81">
        <v>1</v>
      </c>
      <c r="B20" s="82">
        <f>B9</f>
        <v>11244.2</v>
      </c>
      <c r="C20" s="87">
        <f>B20*$B$16</f>
        <v>930.40004565947368</v>
      </c>
      <c r="D20" s="82">
        <f>-B10</f>
        <v>6162.88</v>
      </c>
      <c r="E20" s="87">
        <f>B20+C20-D20</f>
        <v>6011.7200456594737</v>
      </c>
    </row>
    <row r="21" spans="1:5" x14ac:dyDescent="0.3">
      <c r="A21" s="81">
        <v>2</v>
      </c>
      <c r="B21" s="82">
        <f>E20</f>
        <v>6011.7200456594737</v>
      </c>
      <c r="C21" s="87">
        <f>B21*$B$16</f>
        <v>497.43908903910875</v>
      </c>
      <c r="D21" s="82">
        <f>-B11</f>
        <v>3383.88</v>
      </c>
      <c r="E21" s="87">
        <f t="shared" ref="E21:E23" si="0">B21+C21-D21</f>
        <v>3125.2791346985823</v>
      </c>
    </row>
    <row r="22" spans="1:5" x14ac:dyDescent="0.3">
      <c r="A22" s="81">
        <v>3</v>
      </c>
      <c r="B22" s="82">
        <f t="shared" ref="B22:B24" si="1">E21</f>
        <v>3125.2791346985823</v>
      </c>
      <c r="C22" s="87">
        <f t="shared" ref="C22:C23" si="2">B22*$B$16</f>
        <v>258.60086530141416</v>
      </c>
      <c r="D22" s="82">
        <f>-B12</f>
        <v>3383.88</v>
      </c>
      <c r="E22" s="87">
        <f t="shared" si="0"/>
        <v>-3.637978807091713E-12</v>
      </c>
    </row>
    <row r="23" spans="1:5" x14ac:dyDescent="0.3">
      <c r="A23" s="81">
        <v>4</v>
      </c>
      <c r="B23" s="82">
        <f t="shared" si="1"/>
        <v>-3.637978807091713E-12</v>
      </c>
      <c r="C23" s="87">
        <f t="shared" si="2"/>
        <v>-3.0102414117734716E-13</v>
      </c>
      <c r="D23" s="82">
        <f>-B13</f>
        <v>0</v>
      </c>
      <c r="E23" s="87">
        <f t="shared" si="0"/>
        <v>-3.9390029482690601E-12</v>
      </c>
    </row>
    <row r="24" spans="1:5" x14ac:dyDescent="0.3">
      <c r="A24" s="81">
        <v>5</v>
      </c>
      <c r="B24" s="82">
        <f t="shared" si="1"/>
        <v>-3.9390029482690601E-12</v>
      </c>
      <c r="C24" s="87">
        <f t="shared" ref="C24" si="3">B24*$B$16</f>
        <v>-3.2593234938211118E-13</v>
      </c>
      <c r="D24" s="82">
        <f>-B14</f>
        <v>0</v>
      </c>
      <c r="E24" s="87">
        <f t="shared" ref="E24" si="4">B24+C24-D24</f>
        <v>-4.2649352976511713E-12</v>
      </c>
    </row>
  </sheetData>
  <pageMargins left="0.7" right="0.7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3</v>
      </c>
      <c r="B1" t="b">
        <v>0</v>
      </c>
    </row>
    <row r="2" spans="1:2" x14ac:dyDescent="0.25">
      <c r="A2" t="s">
        <v>4</v>
      </c>
      <c r="B2" t="b">
        <v>0</v>
      </c>
    </row>
    <row r="3" spans="1:2" x14ac:dyDescent="0.25">
      <c r="A3" t="s">
        <v>5</v>
      </c>
      <c r="B3" t="s">
        <v>7</v>
      </c>
    </row>
    <row r="4" spans="1:2" x14ac:dyDescent="0.25">
      <c r="A4" t="s">
        <v>6</v>
      </c>
      <c r="B4">
        <v>1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1C5F7D3003746B532749500EE4A82" ma:contentTypeVersion="9" ma:contentTypeDescription="Create a new document." ma:contentTypeScope="" ma:versionID="5c17569f9e164f6eab3d08925ce387ef">
  <xsd:schema xmlns:xsd="http://www.w3.org/2001/XMLSchema" xmlns:xs="http://www.w3.org/2001/XMLSchema" xmlns:p="http://schemas.microsoft.com/office/2006/metadata/properties" xmlns:ns3="887857f5-87be-4687-a83a-523b26cab172" targetNamespace="http://schemas.microsoft.com/office/2006/metadata/properties" ma:root="true" ma:fieldsID="6962077ed2a2b3b60ecf1bb0532cfa3f" ns3:_="">
    <xsd:import namespace="887857f5-87be-4687-a83a-523b26cab1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857f5-87be-4687-a83a-523b26cab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7851A-6E2A-4963-93A8-3079434E55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12888-C450-4F48-B11A-BE7E1BD75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857f5-87be-4687-a83a-523b26cab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5E057-2EA0-4D0D-8503-D0DB8B594F69}">
  <ds:schemaRefs>
    <ds:schemaRef ds:uri="http://schemas.microsoft.com/office/2006/documentManagement/types"/>
    <ds:schemaRef ds:uri="http://schemas.microsoft.com/office/2006/metadata/properties"/>
    <ds:schemaRef ds:uri="887857f5-87be-4687-a83a-523b26cab172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Buy vs lease</vt:lpstr>
      <vt:lpstr>calc for implicit rate</vt:lpstr>
      <vt:lpstr>Buy vs lease ex</vt:lpstr>
      <vt:lpstr>ex calc for implicit rate</vt:lpstr>
      <vt:lpstr>'Buy vs lease'!Print_Area</vt:lpstr>
      <vt:lpstr>'Buy vs lease ex'!Print_Area</vt:lpstr>
      <vt:lpstr>'calc for implicit rate'!Print_Area</vt:lpstr>
      <vt:lpstr>'ex calc for implicit rate'!Print_Area</vt:lpstr>
      <vt:lpstr>'Buy vs lease'!TemplatePrintArea</vt:lpstr>
      <vt:lpstr>'Buy vs lease ex'!TemplatePrintArea</vt:lpstr>
    </vt:vector>
  </TitlesOfParts>
  <Manager/>
  <Company>KMT Software,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Jennifer S</dc:creator>
  <cp:keywords/>
  <dc:description/>
  <cp:lastModifiedBy>Hill, Jennifer S</cp:lastModifiedBy>
  <cp:lastPrinted>2021-05-14T21:08:15Z</cp:lastPrinted>
  <dcterms:created xsi:type="dcterms:W3CDTF">1997-03-01T10:49:14Z</dcterms:created>
  <dcterms:modified xsi:type="dcterms:W3CDTF">2021-05-24T16:47:55Z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TC010525041033</vt:lpwstr>
  </property>
  <property fmtid="{D5CDD505-2E9C-101B-9397-08002B2CF9AE}" pid="3" name="MSIP_Label_93932cc9-dea4-49e2-bfe2-7f42b17a9d2b_Enabled">
    <vt:lpwstr>true</vt:lpwstr>
  </property>
  <property fmtid="{D5CDD505-2E9C-101B-9397-08002B2CF9AE}" pid="4" name="MSIP_Label_93932cc9-dea4-49e2-bfe2-7f42b17a9d2b_SetDate">
    <vt:lpwstr>2019-10-31T19:48:24Z</vt:lpwstr>
  </property>
  <property fmtid="{D5CDD505-2E9C-101B-9397-08002B2CF9AE}" pid="5" name="MSIP_Label_93932cc9-dea4-49e2-bfe2-7f42b17a9d2b_Method">
    <vt:lpwstr>Standard</vt:lpwstr>
  </property>
  <property fmtid="{D5CDD505-2E9C-101B-9397-08002B2CF9AE}" pid="6" name="MSIP_Label_93932cc9-dea4-49e2-bfe2-7f42b17a9d2b_Name">
    <vt:lpwstr>USI Internal</vt:lpwstr>
  </property>
  <property fmtid="{D5CDD505-2E9C-101B-9397-08002B2CF9AE}" pid="7" name="MSIP_Label_93932cc9-dea4-49e2-bfe2-7f42b17a9d2b_SiteId">
    <vt:lpwstr>ae1d882c-786b-492c-9095-3d81d0a2f615</vt:lpwstr>
  </property>
  <property fmtid="{D5CDD505-2E9C-101B-9397-08002B2CF9AE}" pid="8" name="MSIP_Label_93932cc9-dea4-49e2-bfe2-7f42b17a9d2b_ActionId">
    <vt:lpwstr>cdda1d40-b136-445d-af33-0000b6e199d5</vt:lpwstr>
  </property>
  <property fmtid="{D5CDD505-2E9C-101B-9397-08002B2CF9AE}" pid="9" name="MSIP_Label_93932cc9-dea4-49e2-bfe2-7f42b17a9d2b_ContentBits">
    <vt:lpwstr>0</vt:lpwstr>
  </property>
  <property fmtid="{D5CDD505-2E9C-101B-9397-08002B2CF9AE}" pid="10" name="ContentTypeId">
    <vt:lpwstr>0x01010087F1C5F7D3003746B532749500EE4A82</vt:lpwstr>
  </property>
</Properties>
</file>